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THC" sheetId="2" r:id="rId1"/>
    <sheet name="CsA" sheetId="3" r:id="rId2"/>
    <sheet name="THC Rat" sheetId="4" r:id="rId3"/>
  </sheets>
  <externalReferences>
    <externalReference r:id="rId4"/>
  </externalReferences>
  <definedNames>
    <definedName name="count">[1]Stats!$B$6</definedName>
  </definedNames>
  <calcPr calcId="152511"/>
</workbook>
</file>

<file path=xl/calcChain.xml><?xml version="1.0" encoding="utf-8"?>
<calcChain xmlns="http://schemas.openxmlformats.org/spreadsheetml/2006/main">
  <c r="E29" i="4" l="1"/>
  <c r="E30" i="4" s="1"/>
  <c r="D29" i="4"/>
  <c r="I8" i="4"/>
  <c r="H8" i="4"/>
  <c r="J8" i="4" s="1"/>
  <c r="K8" i="4" s="1"/>
  <c r="I7" i="4"/>
  <c r="H7" i="4"/>
  <c r="J7" i="4" s="1"/>
  <c r="K7" i="4" s="1"/>
  <c r="I4" i="4"/>
  <c r="H4" i="4"/>
  <c r="C18" i="3" l="1"/>
  <c r="C17" i="3"/>
  <c r="E41" i="3"/>
  <c r="D41" i="3"/>
  <c r="C41" i="3"/>
  <c r="H31" i="3"/>
  <c r="E31" i="3"/>
  <c r="D31" i="3"/>
  <c r="H30" i="3"/>
  <c r="E30" i="3"/>
  <c r="D30" i="3"/>
  <c r="G29" i="3"/>
  <c r="G31" i="3" s="1"/>
  <c r="F29" i="3"/>
  <c r="F31" i="3" s="1"/>
  <c r="G28" i="3"/>
  <c r="G30" i="3" s="1"/>
  <c r="F28" i="3"/>
  <c r="F30" i="3" s="1"/>
  <c r="F14" i="3"/>
  <c r="E10" i="3"/>
  <c r="D10" i="3"/>
  <c r="E9" i="3"/>
  <c r="D9" i="3"/>
  <c r="F9" i="3" s="1"/>
  <c r="F32" i="3" l="1"/>
  <c r="D37" i="3" s="1"/>
  <c r="D32" i="3"/>
  <c r="H32" i="3"/>
  <c r="C37" i="3" s="1"/>
  <c r="E32" i="3"/>
  <c r="G10" i="3"/>
  <c r="H10" i="3" s="1"/>
  <c r="I10" i="3" s="1"/>
  <c r="G32" i="3"/>
  <c r="G15" i="3"/>
  <c r="H15" i="3" s="1"/>
  <c r="B17" i="3"/>
  <c r="D33" i="3" l="1"/>
  <c r="D34" i="3" s="1"/>
  <c r="F33" i="3"/>
  <c r="D11" i="3"/>
  <c r="H33" i="3"/>
  <c r="H34" i="3" s="1"/>
  <c r="I15" i="3"/>
  <c r="D16" i="3"/>
  <c r="J14" i="3"/>
  <c r="C38" i="3"/>
  <c r="C39" i="3" s="1"/>
  <c r="E47" i="3"/>
  <c r="G33" i="3"/>
  <c r="D38" i="3" s="1"/>
  <c r="D39" i="3" s="1"/>
  <c r="D40" i="3" s="1"/>
  <c r="G34" i="3"/>
  <c r="F47" i="3"/>
  <c r="E33" i="3"/>
  <c r="E34" i="3" s="1"/>
  <c r="D47" i="3"/>
  <c r="C40" i="3"/>
  <c r="F34" i="3"/>
  <c r="D48" i="3" l="1"/>
  <c r="D49" i="3" s="1"/>
  <c r="F48" i="3"/>
  <c r="F49" i="3" s="1"/>
  <c r="E48" i="3"/>
  <c r="E49" i="3"/>
  <c r="E24" i="2" l="1"/>
  <c r="E23" i="2"/>
  <c r="D23" i="2"/>
  <c r="K12" i="2"/>
  <c r="E33" i="2" s="1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K8" i="2" s="1"/>
  <c r="L9" i="2" l="1"/>
  <c r="M9" i="2" s="1"/>
  <c r="D25" i="2"/>
  <c r="D33" i="2" s="1"/>
  <c r="D10" i="2"/>
  <c r="L13" i="2"/>
  <c r="M13" i="2" s="1"/>
  <c r="E34" i="2" s="1"/>
  <c r="E35" i="2" s="1"/>
  <c r="C15" i="2"/>
  <c r="D14" i="2"/>
  <c r="N12" i="2" l="1"/>
  <c r="D15" i="2" s="1"/>
  <c r="N13" i="2"/>
  <c r="E15" i="2" s="1"/>
  <c r="E16" i="2" s="1"/>
  <c r="D26" i="2"/>
  <c r="D16" i="2"/>
  <c r="D34" i="2"/>
  <c r="D35" i="2" s="1"/>
</calcChain>
</file>

<file path=xl/sharedStrings.xml><?xml version="1.0" encoding="utf-8"?>
<sst xmlns="http://schemas.openxmlformats.org/spreadsheetml/2006/main" count="232" uniqueCount="133">
  <si>
    <t>IV</t>
  </si>
  <si>
    <r>
      <t>Wall</t>
    </r>
    <r>
      <rPr>
        <i/>
        <sz val="11"/>
        <color theme="1"/>
        <rFont val="Calibri"/>
        <family val="2"/>
        <scheme val="minor"/>
      </rPr>
      <t xml:space="preserve"> et al.</t>
    </r>
  </si>
  <si>
    <r>
      <t xml:space="preserve">Hunt </t>
    </r>
    <r>
      <rPr>
        <i/>
        <sz val="11"/>
        <color theme="1"/>
        <rFont val="Calibri"/>
        <family val="2"/>
        <scheme val="minor"/>
      </rPr>
      <t>et al.</t>
    </r>
  </si>
  <si>
    <r>
      <t>Ohlsson</t>
    </r>
    <r>
      <rPr>
        <i/>
        <sz val="11"/>
        <color theme="1"/>
        <rFont val="Calibri"/>
        <family val="2"/>
        <scheme val="minor"/>
      </rPr>
      <t xml:space="preserve"> et al.</t>
    </r>
  </si>
  <si>
    <t>Kelly &amp; Jones</t>
  </si>
  <si>
    <r>
      <t xml:space="preserve">Naef </t>
    </r>
    <r>
      <rPr>
        <i/>
        <sz val="11"/>
        <color theme="1"/>
        <rFont val="Calibri"/>
        <family val="2"/>
        <scheme val="minor"/>
      </rPr>
      <t>et al.</t>
    </r>
  </si>
  <si>
    <t>N</t>
  </si>
  <si>
    <t>Dose</t>
  </si>
  <si>
    <t>(mg)</t>
  </si>
  <si>
    <t>Type of PK analysis</t>
  </si>
  <si>
    <t>2 compartments</t>
  </si>
  <si>
    <t>Compartmental</t>
  </si>
  <si>
    <t>NCA (linear trapezoidal)</t>
  </si>
  <si>
    <t>NCA</t>
  </si>
  <si>
    <t>t1/2</t>
  </si>
  <si>
    <t>min</t>
  </si>
  <si>
    <r>
      <t>AUC (ng·mL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·min)</t>
    </r>
  </si>
  <si>
    <t>mean</t>
  </si>
  <si>
    <t>SD</t>
  </si>
  <si>
    <t>weighted mean</t>
  </si>
  <si>
    <r>
      <t>AUC/dose (ng·mL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·min·mg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</si>
  <si>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OSS</t>
  </si>
  <si>
    <t>OSD</t>
  </si>
  <si>
    <r>
      <t>CL (mL·min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·Kg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</si>
  <si>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r>
      <t xml:space="preserve">mean </t>
    </r>
    <r>
      <rPr>
        <sz val="11"/>
        <color theme="1"/>
        <rFont val="Calibri"/>
        <family val="2"/>
      </rPr>
      <t>± SD</t>
    </r>
  </si>
  <si>
    <t>Fh</t>
  </si>
  <si>
    <t>PO</t>
  </si>
  <si>
    <r>
      <t xml:space="preserve">Goskonda </t>
    </r>
    <r>
      <rPr>
        <i/>
        <sz val="11"/>
        <color theme="1"/>
        <rFont val="Calibri"/>
        <family val="2"/>
        <scheme val="minor"/>
      </rPr>
      <t>et al.</t>
    </r>
  </si>
  <si>
    <t>N/A</t>
  </si>
  <si>
    <t>F (%)</t>
  </si>
  <si>
    <r>
      <t>mean</t>
    </r>
    <r>
      <rPr>
        <sz val="11"/>
        <color theme="1"/>
        <rFont val="Calibri"/>
        <family val="2"/>
      </rPr>
      <t>±SD</t>
    </r>
  </si>
  <si>
    <t>4.10 ± 3.63</t>
  </si>
  <si>
    <t>3.35 ± 3.76</t>
  </si>
  <si>
    <t>Study#1 (20 mg)</t>
  </si>
  <si>
    <t>Study#3 (10 mg)</t>
  </si>
  <si>
    <t>Fabs∙Fg</t>
  </si>
  <si>
    <t>mean±SD</t>
  </si>
  <si>
    <t>IV (blood)</t>
  </si>
  <si>
    <r>
      <t xml:space="preserve">Gomez </t>
    </r>
    <r>
      <rPr>
        <i/>
        <sz val="11"/>
        <color theme="1"/>
        <rFont val="Calibri"/>
        <family val="2"/>
        <scheme val="minor"/>
      </rPr>
      <t>et al.</t>
    </r>
  </si>
  <si>
    <r>
      <t xml:space="preserve">Hebert </t>
    </r>
    <r>
      <rPr>
        <i/>
        <sz val="11"/>
        <color theme="1"/>
        <rFont val="Calibri"/>
        <family val="2"/>
        <scheme val="minor"/>
      </rPr>
      <t>et al.</t>
    </r>
  </si>
  <si>
    <t>Non compartmental (linear trapezoidal)</t>
  </si>
  <si>
    <r>
      <t>t</t>
    </r>
    <r>
      <rPr>
        <vertAlign val="subscript"/>
        <sz val="11"/>
        <color theme="1"/>
        <rFont val="Calibri"/>
        <family val="2"/>
        <scheme val="minor"/>
      </rPr>
      <t>1/2,z</t>
    </r>
  </si>
  <si>
    <t>(min)</t>
  </si>
  <si>
    <t>(*)n=1</t>
  </si>
  <si>
    <r>
      <t>AUC</t>
    </r>
    <r>
      <rPr>
        <vertAlign val="subscript"/>
        <sz val="11"/>
        <color theme="1"/>
        <rFont val="Calibri"/>
        <family val="2"/>
        <scheme val="minor"/>
      </rPr>
      <t>t</t>
    </r>
  </si>
  <si>
    <r>
      <t>(ng</t>
    </r>
    <r>
      <rPr>
        <sz val="11"/>
        <color theme="1"/>
        <rFont val="Calibri"/>
        <family val="2"/>
      </rPr>
      <t>·</t>
    </r>
    <r>
      <rPr>
        <sz val="11"/>
        <color theme="1"/>
        <rFont val="Calibri"/>
        <family val="2"/>
        <scheme val="minor"/>
      </rPr>
      <t>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·min)</t>
    </r>
  </si>
  <si>
    <r>
      <t>AUC</t>
    </r>
    <r>
      <rPr>
        <vertAlign val="subscript"/>
        <sz val="11"/>
        <color theme="1"/>
        <rFont val="Calibri"/>
        <family val="2"/>
      </rPr>
      <t>∞</t>
    </r>
    <r>
      <rPr>
        <sz val="11"/>
        <color theme="1"/>
        <rFont val="Calibri"/>
        <family val="2"/>
        <scheme val="minor"/>
      </rPr>
      <t xml:space="preserve"> (ng·mL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·min)</t>
    </r>
  </si>
  <si>
    <t>WX</t>
  </si>
  <si>
    <r>
      <t>AUC</t>
    </r>
    <r>
      <rPr>
        <vertAlign val="subscript"/>
        <sz val="11"/>
        <color theme="1"/>
        <rFont val="Calibri"/>
        <family val="2"/>
        <scheme val="minor"/>
      </rPr>
      <t>∞</t>
    </r>
    <r>
      <rPr>
        <sz val="11"/>
        <color theme="1"/>
        <rFont val="Calibri"/>
        <family val="2"/>
        <scheme val="minor"/>
      </rPr>
      <t>/dose (ng·mL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·min·mg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</si>
  <si>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OSSE</t>
  </si>
  <si>
    <t>CV (%)</t>
  </si>
  <si>
    <r>
      <t>V</t>
    </r>
    <r>
      <rPr>
        <vertAlign val="subscript"/>
        <sz val="11"/>
        <color theme="1"/>
        <rFont val="Calibri"/>
        <family val="2"/>
        <scheme val="minor"/>
      </rPr>
      <t>d</t>
    </r>
  </si>
  <si>
    <r>
      <t>(L·Kg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</si>
  <si>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r>
      <t>V</t>
    </r>
    <r>
      <rPr>
        <vertAlign val="subscript"/>
        <sz val="11"/>
        <color theme="1"/>
        <rFont val="Calibri"/>
        <family val="2"/>
        <scheme val="minor"/>
      </rPr>
      <t>ss</t>
    </r>
  </si>
  <si>
    <r>
      <t xml:space="preserve">1.27 </t>
    </r>
    <r>
      <rPr>
        <sz val="11"/>
        <color theme="1"/>
        <rFont val="Calibri"/>
        <family val="2"/>
      </rPr>
      <t>± 0.44</t>
    </r>
  </si>
  <si>
    <r>
      <t xml:space="preserve">1.16 </t>
    </r>
    <r>
      <rPr>
        <sz val="11"/>
        <color theme="1"/>
        <rFont val="Calibri"/>
        <family val="2"/>
      </rPr>
      <t>± 0.42</t>
    </r>
  </si>
  <si>
    <t>WCV (%)</t>
  </si>
  <si>
    <r>
      <t xml:space="preserve">Mueller </t>
    </r>
    <r>
      <rPr>
        <i/>
        <sz val="11"/>
        <color theme="1"/>
        <rFont val="Calibri"/>
        <family val="2"/>
        <scheme val="minor"/>
      </rPr>
      <t>et al.</t>
    </r>
    <r>
      <rPr>
        <sz val="11"/>
        <color theme="1"/>
        <rFont val="Calibri"/>
        <family val="2"/>
        <scheme val="minor"/>
      </rPr>
      <t xml:space="preserve"> (b)</t>
    </r>
  </si>
  <si>
    <r>
      <t xml:space="preserve">Odeberg </t>
    </r>
    <r>
      <rPr>
        <i/>
        <sz val="11"/>
        <color theme="1"/>
        <rFont val="Calibri"/>
        <family val="2"/>
        <scheme val="minor"/>
      </rPr>
      <t>et al.</t>
    </r>
  </si>
  <si>
    <r>
      <t>Kim</t>
    </r>
    <r>
      <rPr>
        <i/>
        <sz val="11"/>
        <color theme="1"/>
        <rFont val="Calibri"/>
        <family val="2"/>
        <scheme val="minor"/>
      </rPr>
      <t xml:space="preserve"> et al.</t>
    </r>
  </si>
  <si>
    <t>420 ± 156</t>
  </si>
  <si>
    <t>558± 150</t>
  </si>
  <si>
    <r>
      <t xml:space="preserve">232 </t>
    </r>
    <r>
      <rPr>
        <sz val="11"/>
        <color rgb="FF0070C0"/>
        <rFont val="Calibri"/>
        <family val="2"/>
      </rPr>
      <t>± 15</t>
    </r>
  </si>
  <si>
    <r>
      <t>t</t>
    </r>
    <r>
      <rPr>
        <vertAlign val="subscript"/>
        <sz val="11"/>
        <color theme="1"/>
        <rFont val="Calibri"/>
        <family val="2"/>
        <scheme val="minor"/>
      </rPr>
      <t>max</t>
    </r>
  </si>
  <si>
    <t>90 ± 24</t>
  </si>
  <si>
    <t>102 ± 36</t>
  </si>
  <si>
    <t>79.8 (60-79.8)</t>
  </si>
  <si>
    <t>109.8 (79.8-150)</t>
  </si>
  <si>
    <t>96 ± 6</t>
  </si>
  <si>
    <r>
      <t>C</t>
    </r>
    <r>
      <rPr>
        <vertAlign val="subscript"/>
        <sz val="11"/>
        <color theme="1"/>
        <rFont val="Calibri"/>
        <family val="2"/>
        <scheme val="minor"/>
      </rPr>
      <t>max</t>
    </r>
  </si>
  <si>
    <r>
      <t>(ng·mL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</si>
  <si>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1026 ± 218</t>
  </si>
  <si>
    <t>1813 ± 400</t>
  </si>
  <si>
    <t>1307 ± 127</t>
  </si>
  <si>
    <t>1256 ± 438</t>
  </si>
  <si>
    <t>1243 ± 35</t>
  </si>
  <si>
    <r>
      <t xml:space="preserve">302705 </t>
    </r>
    <r>
      <rPr>
        <sz val="11"/>
        <color rgb="FF0070C0"/>
        <rFont val="Calibri"/>
        <family val="2"/>
      </rPr>
      <t>± 107433</t>
    </r>
  </si>
  <si>
    <t>322752 ± 11646</t>
  </si>
  <si>
    <r>
      <t>AUC</t>
    </r>
    <r>
      <rPr>
        <sz val="11"/>
        <color theme="1"/>
        <rFont val="Calibri"/>
        <family val="2"/>
      </rPr>
      <t>∞</t>
    </r>
    <r>
      <rPr>
        <sz val="11"/>
        <color theme="1"/>
        <rFont val="Calibri"/>
        <family val="2"/>
        <scheme val="minor"/>
      </rPr>
      <t xml:space="preserve"> (ng·mL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·min)</t>
    </r>
  </si>
  <si>
    <t>F(%)</t>
  </si>
  <si>
    <t>200 mg</t>
  </si>
  <si>
    <t>Weighted mean±OSD</t>
  </si>
  <si>
    <t>CV</t>
  </si>
  <si>
    <t>Study#1 (200 mg)</t>
  </si>
  <si>
    <t>Study#2 (300 mg)</t>
  </si>
  <si>
    <t>Study#3 (600 mg)</t>
  </si>
  <si>
    <t>PK analysis performed by me</t>
  </si>
  <si>
    <t>AUCinf/dose (kg.h/mL)</t>
  </si>
  <si>
    <t>F</t>
  </si>
  <si>
    <t>N=5</t>
  </si>
  <si>
    <t>AUCinf (h.ng/mL)</t>
  </si>
  <si>
    <t>Vd (mL/kg)</t>
  </si>
  <si>
    <t>CL (mL/h/kg)</t>
  </si>
  <si>
    <t>t1/2 (h)</t>
  </si>
  <si>
    <t>Dose (mg/kg)</t>
  </si>
  <si>
    <t>sd</t>
  </si>
  <si>
    <t>1624 ± 334</t>
  </si>
  <si>
    <t>7921 ± 462</t>
  </si>
  <si>
    <t>2671.4 ± 679.6</t>
  </si>
  <si>
    <t>4.6 ± 2</t>
  </si>
  <si>
    <t>N=6, 5 each</t>
  </si>
  <si>
    <t>Tmax (h)</t>
  </si>
  <si>
    <t>Cmax (ng/mL)</t>
  </si>
  <si>
    <t>PO Free</t>
  </si>
  <si>
    <t>414 ± 130</t>
  </si>
  <si>
    <t>65 ± 17</t>
  </si>
  <si>
    <t>6.9 ± 2</t>
  </si>
  <si>
    <t>PO Lipid</t>
  </si>
  <si>
    <r>
      <t>1050 ± 169</t>
    </r>
    <r>
      <rPr>
        <vertAlign val="superscript"/>
        <sz val="10"/>
        <color theme="1"/>
        <rFont val="Times New Roman"/>
        <family val="1"/>
      </rPr>
      <t>*</t>
    </r>
  </si>
  <si>
    <t>172 ± 34</t>
  </si>
  <si>
    <t>7.4 ± 2.6</t>
  </si>
  <si>
    <t>Administration/ formulation</t>
  </si>
  <si>
    <r>
      <t>AUC</t>
    </r>
    <r>
      <rPr>
        <vertAlign val="subscript"/>
        <sz val="10"/>
        <color theme="1"/>
        <rFont val="Times New Roman"/>
        <family val="1"/>
      </rPr>
      <t>0-t</t>
    </r>
  </si>
  <si>
    <r>
      <t>V</t>
    </r>
    <r>
      <rPr>
        <i/>
        <vertAlign val="subscript"/>
        <sz val="10"/>
        <color theme="1"/>
        <rFont val="Times New Roman"/>
        <family val="1"/>
      </rPr>
      <t>d</t>
    </r>
  </si>
  <si>
    <t>CL</t>
  </si>
  <si>
    <r>
      <t>t</t>
    </r>
    <r>
      <rPr>
        <vertAlign val="subscript"/>
        <sz val="10"/>
        <color theme="1"/>
        <rFont val="Times New Roman"/>
        <family val="1"/>
      </rPr>
      <t>1/2</t>
    </r>
  </si>
  <si>
    <r>
      <t>C</t>
    </r>
    <r>
      <rPr>
        <vertAlign val="subscript"/>
        <sz val="10"/>
        <color theme="1"/>
        <rFont val="Times New Roman"/>
        <family val="1"/>
      </rPr>
      <t>max</t>
    </r>
  </si>
  <si>
    <r>
      <t>T</t>
    </r>
    <r>
      <rPr>
        <vertAlign val="subscript"/>
        <sz val="10"/>
        <color theme="1"/>
        <rFont val="Times New Roman"/>
        <family val="1"/>
      </rPr>
      <t>max</t>
    </r>
  </si>
  <si>
    <t>n</t>
  </si>
  <si>
    <t>(h.ng/mL)</t>
  </si>
  <si>
    <t>(mL/kg)</t>
  </si>
  <si>
    <t>(mL/h/kg)</t>
  </si>
  <si>
    <t>(h)</t>
  </si>
  <si>
    <t>(ng/mL)</t>
  </si>
  <si>
    <t>(%)</t>
  </si>
  <si>
    <t>IV bolus</t>
  </si>
  <si>
    <t>-</t>
  </si>
  <si>
    <t xml:space="preserve">Oral lipid-free </t>
  </si>
  <si>
    <t>8.5 ± 2.6</t>
  </si>
  <si>
    <t>Oral LCT-based</t>
  </si>
  <si>
    <r>
      <t>21.5 ± 3.5</t>
    </r>
    <r>
      <rPr>
        <vertAlign val="superscript"/>
        <sz val="10"/>
        <color theme="1"/>
        <rFont val="Times New Roman"/>
        <family val="1"/>
      </rPr>
      <t>*</t>
    </r>
  </si>
  <si>
    <r>
      <t xml:space="preserve">Unpaired </t>
    </r>
    <r>
      <rPr>
        <i/>
        <sz val="10"/>
        <color theme="1"/>
        <rFont val="Times New Roman"/>
        <family val="1"/>
      </rPr>
      <t>t</t>
    </r>
    <r>
      <rPr>
        <sz val="10"/>
        <color theme="1"/>
        <rFont val="Times New Roman"/>
        <family val="1"/>
      </rPr>
      <t xml:space="preserve">-test was used for statistical analysis. </t>
    </r>
  </si>
  <si>
    <t>* Statistically different from oral lipid-free formulation (p &lt; 0.05).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</si>
</sst>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sz val="11"/>
      <color rgb="FF0070C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  <font>
      <i/>
      <sz val="10"/>
      <color theme="1"/>
      <name val="Times New Roman"/>
      <family val="1"/>
    </font>
    <font>
      <i/>
      <vertAlign val="subscript"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000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13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0" xfId="2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8" xfId="0" applyBorder="1" applyAlignment="1">
      <alignment horizontal="left"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0" fillId="0" borderId="0" xfId="0" applyBorder="1"/>
    <xf numFmtId="0" fontId="0" fillId="0" borderId="10" xfId="0" applyBorder="1"/>
    <xf numFmtId="0" fontId="0" fillId="0" borderId="0" xfId="0" applyBorder="1" applyAlignment="1"/>
    <xf numFmtId="166" fontId="0" fillId="0" borderId="0" xfId="1" applyNumberFormat="1" applyFont="1"/>
    <xf numFmtId="0" fontId="0" fillId="0" borderId="2" xfId="0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4" xfId="0" applyBorder="1"/>
    <xf numFmtId="164" fontId="4" fillId="0" borderId="2" xfId="0" applyNumberFormat="1" applyFont="1" applyBorder="1" applyAlignment="1">
      <alignment horizontal="center"/>
    </xf>
    <xf numFmtId="10" fontId="4" fillId="0" borderId="2" xfId="1" applyNumberFormat="1" applyFont="1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/>
    </xf>
    <xf numFmtId="0" fontId="0" fillId="0" borderId="2" xfId="0" applyBorder="1"/>
    <xf numFmtId="166" fontId="0" fillId="0" borderId="2" xfId="1" applyNumberFormat="1" applyFont="1" applyBorder="1" applyAlignment="1">
      <alignment horizontal="center"/>
    </xf>
    <xf numFmtId="10" fontId="0" fillId="0" borderId="2" xfId="1" applyNumberFormat="1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2" fontId="0" fillId="0" borderId="0" xfId="0" applyNumberFormat="1"/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7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 wrapText="1"/>
    </xf>
    <xf numFmtId="0" fontId="0" fillId="0" borderId="5" xfId="0" applyBorder="1"/>
    <xf numFmtId="1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0" fontId="5" fillId="0" borderId="5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0" fillId="0" borderId="11" xfId="0" applyFill="1" applyBorder="1" applyAlignment="1">
      <alignment horizontal="left" vertical="center"/>
    </xf>
    <xf numFmtId="10" fontId="0" fillId="0" borderId="2" xfId="1" applyNumberFormat="1" applyFont="1" applyFill="1" applyBorder="1" applyAlignment="1">
      <alignment horizontal="center"/>
    </xf>
    <xf numFmtId="0" fontId="0" fillId="0" borderId="5" xfId="0" applyFill="1" applyBorder="1"/>
    <xf numFmtId="0" fontId="0" fillId="3" borderId="4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0" fontId="4" fillId="0" borderId="2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0" fillId="0" borderId="1" xfId="0" applyFill="1" applyBorder="1"/>
    <xf numFmtId="166" fontId="0" fillId="0" borderId="2" xfId="1" applyNumberFormat="1" applyFont="1" applyBorder="1"/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2"/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5" borderId="17" xfId="0" applyFont="1" applyFill="1" applyBorder="1" applyAlignment="1">
      <alignment vertical="center" wrapText="1"/>
    </xf>
    <xf numFmtId="0" fontId="0" fillId="5" borderId="18" xfId="0" applyFill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166" fontId="0" fillId="2" borderId="0" xfId="1" applyNumberFormat="1" applyFont="1" applyFill="1"/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11" fillId="0" borderId="20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</cellXfs>
  <cellStyles count="3">
    <cellStyle name="Normal" xfId="0" builtinId="0"/>
    <cellStyle name="Normal 3 2" xfId="2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png"/><Relationship Id="rId1" Type="http://schemas.openxmlformats.org/officeDocument/2006/relationships/image" Target="../media/image2.gif"/><Relationship Id="rId4" Type="http://schemas.openxmlformats.org/officeDocument/2006/relationships/image" Target="../media/image5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17</xdr:row>
      <xdr:rowOff>0</xdr:rowOff>
    </xdr:from>
    <xdr:ext cx="184731" cy="264560"/>
    <xdr:sp macro="" textlink="">
      <xdr:nvSpPr>
        <xdr:cNvPr id="2" name="2 CuadroTexto"/>
        <xdr:cNvSpPr txBox="1"/>
      </xdr:nvSpPr>
      <xdr:spPr>
        <a:xfrm>
          <a:off x="4219575" y="353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66675</xdr:colOff>
      <xdr:row>22</xdr:row>
      <xdr:rowOff>57150</xdr:rowOff>
    </xdr:from>
    <xdr:ext cx="1695450" cy="68294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6334125" y="5429250"/>
              <a:ext cx="1695450" cy="68294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f>
                          <m:fPr>
                            <m:type m:val="skw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𝐴𝑈𝐶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𝑃𝑂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𝑑𝑜𝑠𝑒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𝑃𝑂</m:t>
                                </m:r>
                              </m:sub>
                            </m:sSub>
                          </m:den>
                        </m:f>
                      </m:num>
                      <m:den>
                        <m:f>
                          <m:fPr>
                            <m:type m:val="skw"/>
                            <m:ctrlPr>
                              <a:rPr lang="en-US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𝐴𝑈𝐶</m:t>
                                </m:r>
                              </m:e>
                              <m:sub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𝐼𝑉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𝑑𝑜𝑠𝑒</m:t>
                                </m:r>
                              </m:e>
                              <m:sub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𝐼𝑉</m:t>
                                </m:r>
                              </m:sub>
                            </m:sSub>
                          </m:den>
                        </m:f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6334125" y="5429250"/>
              <a:ext cx="1695450" cy="68294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𝐹=(〖𝐴𝑈𝐶〗_𝑃𝑂⁄〖𝑑𝑜𝑠𝑒〗_𝑃𝑂 )/(</a:t>
              </a:r>
              <a:r>
                <a:rPr lang="en-US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〖𝐴𝑈𝐶〗_𝐼𝑉⁄〖𝑑𝑜𝑠𝑒〗_𝐼𝑉 )</a:t>
              </a:r>
              <a:endParaRPr lang="es-ES" sz="1100"/>
            </a:p>
          </xdr:txBody>
        </xdr:sp>
      </mc:Fallback>
    </mc:AlternateContent>
    <xdr:clientData/>
  </xdr:oneCellAnchor>
  <xdr:oneCellAnchor>
    <xdr:from>
      <xdr:col>1</xdr:col>
      <xdr:colOff>152400</xdr:colOff>
      <xdr:row>28</xdr:row>
      <xdr:rowOff>19050</xdr:rowOff>
    </xdr:from>
    <xdr:ext cx="1695450" cy="5262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914400" y="7867650"/>
              <a:ext cx="1695450" cy="52623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E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𝑎𝑏𝑠</m:t>
                        </m:r>
                      </m:sub>
                    </m:sSub>
                    <m:r>
                      <a:rPr lang="es-ES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sSub>
                      <m:sSubPr>
                        <m:ctrlPr>
                          <a:rPr lang="es-ES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𝑔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𝐹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1−</m:t>
                        </m:r>
                        <m:f>
                          <m:fPr>
                            <m:type m:val="skw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𝐶𝑙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𝑄</m:t>
                            </m:r>
                          </m:den>
                        </m:f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914400" y="7867650"/>
              <a:ext cx="1695450" cy="52623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es-ES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𝑎𝑏𝑠</a:t>
              </a:r>
              <a:r>
                <a:rPr lang="es-ES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</a:t>
              </a:r>
              <a:r>
                <a:rPr lang="es-E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𝑔=𝐹/(1−𝐶𝑙⁄𝑄)</a:t>
              </a:r>
              <a:endParaRPr lang="es-ES" sz="1100"/>
            </a:p>
          </xdr:txBody>
        </xdr:sp>
      </mc:Fallback>
    </mc:AlternateContent>
    <xdr:clientData/>
  </xdr:oneCellAnchor>
  <xdr:oneCellAnchor>
    <xdr:from>
      <xdr:col>7</xdr:col>
      <xdr:colOff>38100</xdr:colOff>
      <xdr:row>22</xdr:row>
      <xdr:rowOff>76200</xdr:rowOff>
    </xdr:from>
    <xdr:ext cx="1695450" cy="3432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7181850" y="4562475"/>
              <a:ext cx="1695450" cy="343235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h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0">
                        <a:latin typeface="Cambria Math" panose="02040503050406030204" pitchFamily="18" charset="0"/>
                      </a:rPr>
                      <m:t>1−</m:t>
                    </m:r>
                    <m:f>
                      <m:fPr>
                        <m:type m:val="skw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𝐶𝐿</m:t>
                        </m:r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𝑄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h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7181850" y="4562475"/>
              <a:ext cx="1695450" cy="343235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𝐹_ℎ=1−𝐶𝐿⁄𝑄_ℎ </a:t>
              </a:r>
              <a:endParaRPr lang="es-ES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42</xdr:row>
      <xdr:rowOff>122239</xdr:rowOff>
    </xdr:from>
    <xdr:ext cx="1695450" cy="5262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971550" y="8951914"/>
              <a:ext cx="1695450" cy="52623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E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𝑎𝑏𝑠</m:t>
                        </m:r>
                      </m:sub>
                    </m:sSub>
                    <m:r>
                      <a:rPr lang="es-ES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sSub>
                      <m:sSubPr>
                        <m:ctrlPr>
                          <a:rPr lang="es-ES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𝑔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𝐹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1−</m:t>
                        </m:r>
                        <m:f>
                          <m:fPr>
                            <m:type m:val="skw"/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𝐶𝑙</m:t>
                            </m:r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𝑄</m:t>
                            </m:r>
                          </m:den>
                        </m:f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971550" y="8951914"/>
              <a:ext cx="1695450" cy="52623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</a:t>
              </a:r>
              <a:r>
                <a:rPr lang="es-ES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𝑎𝑏𝑠</a:t>
              </a:r>
              <a:r>
                <a:rPr lang="es-ES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</a:t>
              </a:r>
              <a:r>
                <a:rPr lang="es-E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𝑔=𝐹/(1−𝐶𝑙⁄𝑄)</a:t>
              </a:r>
              <a:endParaRPr lang="es-ES" sz="1100"/>
            </a:p>
          </xdr:txBody>
        </xdr:sp>
      </mc:Fallback>
    </mc:AlternateContent>
    <xdr:clientData/>
  </xdr:oneCellAnchor>
  <xdr:oneCellAnchor>
    <xdr:from>
      <xdr:col>8</xdr:col>
      <xdr:colOff>250824</xdr:colOff>
      <xdr:row>20</xdr:row>
      <xdr:rowOff>123827</xdr:rowOff>
    </xdr:from>
    <xdr:ext cx="1695450" cy="68294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9290049" y="4572002"/>
              <a:ext cx="1695450" cy="68294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𝐹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f>
                          <m:fPr>
                            <m:type m:val="skw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𝐴𝑈𝐶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𝑃𝑂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𝑑𝑜𝑠𝑒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𝑃𝑂</m:t>
                                </m:r>
                              </m:sub>
                            </m:sSub>
                          </m:den>
                        </m:f>
                      </m:num>
                      <m:den>
                        <m:f>
                          <m:fPr>
                            <m:type m:val="skw"/>
                            <m:ctrlPr>
                              <a:rPr lang="en-US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𝐴𝑈𝐶</m:t>
                                </m:r>
                              </m:e>
                              <m:sub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𝐼𝑉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𝑑𝑜𝑠𝑒</m:t>
                                </m:r>
                              </m:e>
                              <m:sub>
                                <m:r>
                                  <a:rPr lang="en-US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𝐼𝑉</m:t>
                                </m:r>
                              </m:sub>
                            </m:sSub>
                          </m:den>
                        </m:f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9290049" y="4572002"/>
              <a:ext cx="1695450" cy="682944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𝐹=(〖𝐴𝑈𝐶〗_𝑃𝑂⁄〖𝑑𝑜𝑠𝑒〗_𝑃𝑂 )/(</a:t>
              </a:r>
              <a:r>
                <a:rPr lang="en-US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〖𝐴𝑈𝐶〗_𝐼𝑉⁄〖𝑑𝑜𝑠𝑒〗_𝐼𝑉 )</a:t>
              </a:r>
              <a:endParaRPr lang="es-ES" sz="1100"/>
            </a:p>
          </xdr:txBody>
        </xdr:sp>
      </mc:Fallback>
    </mc:AlternateContent>
    <xdr:clientData/>
  </xdr:oneCellAnchor>
  <xdr:oneCellAnchor>
    <xdr:from>
      <xdr:col>8</xdr:col>
      <xdr:colOff>753341</xdr:colOff>
      <xdr:row>31</xdr:row>
      <xdr:rowOff>77932</xdr:rowOff>
    </xdr:from>
    <xdr:ext cx="1695450" cy="3432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9793432" y="6771409"/>
              <a:ext cx="1695450" cy="343235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𝐹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h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0">
                        <a:latin typeface="Cambria Math" panose="02040503050406030204" pitchFamily="18" charset="0"/>
                      </a:rPr>
                      <m:t>1−</m:t>
                    </m:r>
                    <m:f>
                      <m:fPr>
                        <m:type m:val="skw"/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𝐶𝐿</m:t>
                        </m:r>
                      </m:num>
                      <m:den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𝑄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h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s-ES" sz="1100"/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9793432" y="6771409"/>
              <a:ext cx="1695450" cy="343235"/>
            </a:xfrm>
            <a:prstGeom prst="rect">
              <a:avLst/>
            </a:prstGeom>
          </xdr:spPr>
          <xdr:style>
            <a:lnRef idx="2">
              <a:schemeClr val="accent4"/>
            </a:lnRef>
            <a:fillRef idx="1">
              <a:schemeClr val="lt1"/>
            </a:fillRef>
            <a:effectRef idx="0">
              <a:schemeClr val="accent4"/>
            </a:effectRef>
            <a:fontRef idx="minor">
              <a:schemeClr val="dk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𝐹_ℎ=1−𝐶𝐿⁄𝑄_ℎ </a:t>
              </a:r>
              <a:endParaRPr lang="es-ES" sz="110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</xdr:colOff>
      <xdr:row>10</xdr:row>
      <xdr:rowOff>133350</xdr:rowOff>
    </xdr:from>
    <xdr:ext cx="5686750" cy="14382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/>
            <xdr:cNvSpPr txBox="1"/>
          </xdr:nvSpPr>
          <xdr:spPr>
            <a:xfrm>
              <a:off x="10810875" y="2305050"/>
              <a:ext cx="5686750" cy="1438275"/>
            </a:xfrm>
            <a:prstGeom prst="rect">
              <a:avLst/>
            </a:prstGeom>
          </xdr:spPr>
          <xdr:style>
            <a:lnRef idx="2">
              <a:schemeClr val="accent2"/>
            </a:lnRef>
            <a:fillRef idx="1">
              <a:schemeClr val="lt1"/>
            </a:fillRef>
            <a:effectRef idx="0">
              <a:schemeClr val="accent2"/>
            </a:effectRef>
            <a:fontRef idx="minor">
              <a:schemeClr val="dk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pPr algn="l"/>
              <a:r>
                <a:rPr lang="en-GB" sz="1100"/>
                <a:t>Propagation</a:t>
              </a:r>
              <a:r>
                <a:rPr lang="en-GB" sz="1100" baseline="0"/>
                <a:t> of error (for both division and multiplication)</a:t>
              </a:r>
            </a:p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∆</m:t>
                    </m:r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𝑧</m:t>
                    </m:r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=</m:t>
                    </m:r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𝑧</m:t>
                    </m:r>
                    <m:rad>
                      <m:radPr>
                        <m:degHide m:val="on"/>
                        <m:ctrlPr>
                          <a:rPr lang="en-GB" sz="1100" b="0" i="1">
                            <a:solidFill>
                              <a:schemeClr val="dk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GB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/>
                                        <a:ea typeface="Cambria Math"/>
                                        <a:cs typeface="+mn-cs"/>
                                      </a:rPr>
                                      <m:t>∆</m:t>
                                    </m:r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/>
                                        <a:ea typeface="Cambria Math"/>
                                        <a:cs typeface="+mn-cs"/>
                                      </a:rPr>
                                      <m:t>𝑥</m:t>
                                    </m:r>
                                  </m:num>
                                  <m:den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/>
                                        <a:ea typeface="+mn-ea"/>
                                        <a:cs typeface="+mn-cs"/>
                                      </a:rPr>
                                      <m:t>𝑥</m:t>
                                    </m:r>
                                  </m:den>
                                </m:f>
                              </m:e>
                            </m:d>
                          </m:e>
                          <m:sup>
                            <m: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2</m:t>
                            </m:r>
                          </m:sup>
                        </m:sSup>
                        <m:r>
                          <a:rPr lang="en-GB" sz="1100" b="0" i="1">
                            <a:solidFill>
                              <a:schemeClr val="dk1"/>
                            </a:solidFill>
                            <a:effectLst/>
                            <a:latin typeface="Cambria Math"/>
                            <a:ea typeface="+mn-ea"/>
                            <a:cs typeface="+mn-cs"/>
                          </a:rPr>
                          <m:t>+</m:t>
                        </m:r>
                        <m:sSup>
                          <m:sSupPr>
                            <m:ctrlP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GB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/>
                                        <a:ea typeface="Cambria Math"/>
                                        <a:cs typeface="+mn-cs"/>
                                      </a:rPr>
                                      <m:t>∆</m:t>
                                    </m:r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/>
                                        <a:ea typeface="Cambria Math"/>
                                        <a:cs typeface="+mn-cs"/>
                                      </a:rPr>
                                      <m:t>𝑦</m:t>
                                    </m:r>
                                  </m:num>
                                  <m:den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/>
                                        <a:ea typeface="+mn-ea"/>
                                        <a:cs typeface="+mn-cs"/>
                                      </a:rPr>
                                      <m:t>𝑦</m:t>
                                    </m:r>
                                  </m:den>
                                </m:f>
                              </m:e>
                            </m:d>
                          </m:e>
                          <m:sup>
                            <m: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2</m:t>
                            </m:r>
                          </m:sup>
                        </m:sSup>
                      </m:e>
                    </m:rad>
                  </m:oMath>
                </m:oMathPara>
              </a14:m>
              <a:endParaRPr lang="en-GB" sz="1100"/>
            </a:p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∆</m:t>
                    </m:r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𝐹</m:t>
                    </m:r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=</m:t>
                    </m:r>
                    <m:r>
                      <a:rPr lang="en-GB" sz="1100" b="0" i="1">
                        <a:solidFill>
                          <a:schemeClr val="dk1"/>
                        </a:solidFill>
                        <a:effectLst/>
                        <a:latin typeface="Cambria Math"/>
                        <a:ea typeface="+mn-ea"/>
                        <a:cs typeface="+mn-cs"/>
                      </a:rPr>
                      <m:t>𝐹</m:t>
                    </m:r>
                    <m:rad>
                      <m:radPr>
                        <m:degHide m:val="on"/>
                        <m:ctrlPr>
                          <a:rPr lang="en-GB" sz="1100" b="0" i="1">
                            <a:solidFill>
                              <a:schemeClr val="dk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GB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∆</m:t>
                                    </m:r>
                                    <m:sSub>
                                      <m:sSubPr>
                                        <m:ctrlP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𝐹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𝑎</m:t>
                                        </m:r>
                                      </m:sub>
                                    </m:sSub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𝐹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𝑎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  <m:sup>
                            <m: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p>
                        </m:sSup>
                        <m:r>
                          <a:rPr lang="en-GB" sz="1100" b="0" i="1">
                            <a:solidFill>
                              <a:schemeClr val="dk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</m:t>
                        </m:r>
                        <m:sSup>
                          <m:sSupPr>
                            <m:ctrlP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d>
                              <m:dPr>
                                <m:ctrlPr>
                                  <a:rPr lang="en-GB" sz="1100" b="0" i="1">
                                    <a:solidFill>
                                      <a:schemeClr val="dk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dPr>
                              <m:e>
                                <m:f>
                                  <m:fPr>
                                    <m:ctrlP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fPr>
                                  <m:num>
                                    <m:r>
                                      <a:rPr lang="en-GB" sz="1100" b="0" i="1">
                                        <a:solidFill>
                                          <a:schemeClr val="dk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∆</m:t>
                                    </m:r>
                                    <m:sSub>
                                      <m:sSubPr>
                                        <m:ctrlP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𝐹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h</m:t>
                                        </m:r>
                                      </m:sub>
                                    </m:sSub>
                                  </m:num>
                                  <m:den>
                                    <m:sSub>
                                      <m:sSubPr>
                                        <m:ctrlP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𝐹</m:t>
                                        </m:r>
                                      </m:e>
                                      <m:sub>
                                        <m:r>
                                          <a:rPr lang="en-GB" sz="1100" b="0" i="1">
                                            <a:solidFill>
                                              <a:schemeClr val="dk1"/>
                                            </a:solidFill>
                                            <a:effectLst/>
                                            <a:latin typeface="Cambria Math"/>
                                            <a:ea typeface="+mn-ea"/>
                                            <a:cs typeface="+mn-cs"/>
                                          </a:rPr>
                                          <m:t>h</m:t>
                                        </m:r>
                                      </m:sub>
                                    </m:sSub>
                                  </m:den>
                                </m:f>
                              </m:e>
                            </m:d>
                          </m:e>
                          <m:sup>
                            <m:r>
                              <a:rPr lang="en-GB" sz="1100" b="0" i="1">
                                <a:solidFill>
                                  <a:schemeClr val="dk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p>
                        </m:sSup>
                      </m:e>
                    </m:rad>
                  </m:oMath>
                </m:oMathPara>
              </a14:m>
              <a:endParaRPr lang="en-GB">
                <a:effectLst/>
              </a:endParaRPr>
            </a:p>
            <a:p>
              <a:pPr algn="l"/>
              <a:endParaRPr lang="en-GB" sz="1100"/>
            </a:p>
          </xdr:txBody>
        </xdr:sp>
      </mc:Choice>
      <mc:Fallback>
        <xdr:sp macro="" textlink="">
          <xdr:nvSpPr>
            <xdr:cNvPr id="2" name="TextBox 1"/>
            <xdr:cNvSpPr txBox="1"/>
          </xdr:nvSpPr>
          <xdr:spPr>
            <a:xfrm>
              <a:off x="10810875" y="2305050"/>
              <a:ext cx="5686750" cy="1438275"/>
            </a:xfrm>
            <a:prstGeom prst="rect">
              <a:avLst/>
            </a:prstGeom>
          </xdr:spPr>
          <xdr:style>
            <a:lnRef idx="2">
              <a:schemeClr val="accent2"/>
            </a:lnRef>
            <a:fillRef idx="1">
              <a:schemeClr val="lt1"/>
            </a:fillRef>
            <a:effectRef idx="0">
              <a:schemeClr val="accent2"/>
            </a:effectRef>
            <a:fontRef idx="minor">
              <a:schemeClr val="dk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pPr algn="l"/>
              <a:r>
                <a:rPr lang="en-GB" sz="1100"/>
                <a:t>Propagation</a:t>
              </a:r>
              <a:r>
                <a:rPr lang="en-GB" sz="1100" baseline="0"/>
                <a:t> of error (for both division and multiplication)</a:t>
              </a:r>
            </a:p>
            <a:p>
              <a:pPr algn="l"/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∆𝑧=𝑧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√((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Cambria Math"/>
                  <a:cs typeface="+mn-cs"/>
                </a:rPr>
                <a:t>∆𝑥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𝑥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)^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2+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Cambria Math"/>
                  <a:cs typeface="+mn-cs"/>
                </a:rPr>
                <a:t>∆𝑦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𝑦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)^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2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</a:t>
              </a:r>
              <a:endParaRPr lang="en-GB" sz="1100"/>
            </a:p>
            <a:p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∆𝐹=𝐹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√(((∆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𝐹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𝑎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)/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𝐹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𝑎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)^2+((∆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𝐹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ℎ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)/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𝐹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/>
                  <a:ea typeface="+mn-ea"/>
                  <a:cs typeface="+mn-cs"/>
                </a:rPr>
                <a:t>ℎ</a:t>
              </a:r>
              <a:r>
                <a:rPr lang="en-GB" sz="110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)^2 )</a:t>
              </a:r>
              <a:endParaRPr lang="en-GB">
                <a:effectLst/>
              </a:endParaRPr>
            </a:p>
            <a:p>
              <a:pPr algn="l"/>
              <a:endParaRPr lang="en-GB" sz="1100"/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18</xdr:row>
          <xdr:rowOff>66675</xdr:rowOff>
        </xdr:from>
        <xdr:to>
          <xdr:col>14</xdr:col>
          <xdr:colOff>428625</xdr:colOff>
          <xdr:row>36</xdr:row>
          <xdr:rowOff>28575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6</xdr:col>
      <xdr:colOff>733424</xdr:colOff>
      <xdr:row>36</xdr:row>
      <xdr:rowOff>9525</xdr:rowOff>
    </xdr:from>
    <xdr:ext cx="5210176" cy="781240"/>
    <xdr:sp macro="" textlink="">
      <xdr:nvSpPr>
        <xdr:cNvPr id="4" name="TextBox 3"/>
        <xdr:cNvSpPr txBox="1"/>
      </xdr:nvSpPr>
      <xdr:spPr>
        <a:xfrm>
          <a:off x="7458074" y="7448550"/>
          <a:ext cx="521017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Fig 1.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Plasma concentration-time profiles of ∆</a:t>
          </a:r>
          <a:r>
            <a:rPr lang="en-US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-tetrahydrocannabinol (THC) following IV bolus (4 mg/kg, n = 5) oral lipid-free formulation (12 mg/kg, n = 6), and oral long-chain triglyceride (LCT)-based formulation (12 mg/kg, n = 5) to rats. The data are shown as mean ± SEM</a:t>
          </a:r>
          <a:endParaRPr lang="es-ES" sz="1100"/>
        </a:p>
      </xdr:txBody>
    </xdr:sp>
    <xdr:clientData/>
  </xdr:oneCellAnchor>
  <xdr:oneCellAnchor>
    <xdr:from>
      <xdr:col>0</xdr:col>
      <xdr:colOff>523875</xdr:colOff>
      <xdr:row>10</xdr:row>
      <xdr:rowOff>142875</xdr:rowOff>
    </xdr:from>
    <xdr:ext cx="9563100" cy="609013"/>
    <xdr:sp macro="" textlink="">
      <xdr:nvSpPr>
        <xdr:cNvPr id="5" name="TextBox 4"/>
        <xdr:cNvSpPr txBox="1"/>
      </xdr:nvSpPr>
      <xdr:spPr>
        <a:xfrm>
          <a:off x="523875" y="2314575"/>
          <a:ext cx="95631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Table 2</a:t>
          </a:r>
          <a:r>
            <a:rPr lang="en-GB" sz="110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Pharmacokinetic parameters (</a:t>
          </a:r>
          <a:r>
            <a:rPr lang="en-GB" sz="1100" b="1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mean ± SEM</a:t>
          </a:r>
          <a:r>
            <a:rPr lang="en-GB" sz="110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derived from plasma concentration-time profiles following the administration of IV bolus (4 mg/kg), oral lipid-free formulation (12 mg/kg), and long chain triglyceride (LCT)-based formulation (12 mg/kg) of ∆</a:t>
          </a:r>
          <a:r>
            <a:rPr lang="en-GB" sz="1100" i="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en-GB" sz="110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-tetrahydrocannabinol (THC) to rats. </a:t>
          </a:r>
          <a:endParaRPr lang="es-ES" sz="1100" i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oneCellAnchor>
  <xdr:oneCellAnchor>
    <xdr:from>
      <xdr:col>2</xdr:col>
      <xdr:colOff>1009650</xdr:colOff>
      <xdr:row>22</xdr:row>
      <xdr:rowOff>76200</xdr:rowOff>
    </xdr:from>
    <xdr:ext cx="1930528" cy="441980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6" name="TextBox 5"/>
            <xdr:cNvSpPr txBox="1"/>
          </xdr:nvSpPr>
          <xdr:spPr>
            <a:xfrm>
              <a:off x="2733675" y="4848225"/>
              <a:ext cx="1930528" cy="441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𝑆𝐸𝑀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𝑆𝐷</m:t>
                        </m:r>
                      </m:num>
                      <m:den>
                        <m:rad>
                          <m:radPr>
                            <m:degHide m:val="on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radPr>
                          <m:deg/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e>
                        </m:rad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</a:rPr>
                      <m:t>;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𝑆𝐷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𝑆𝐸𝑀</m:t>
                    </m:r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∙</m:t>
                    </m:r>
                    <m:rad>
                      <m:radPr>
                        <m:degHide m:val="on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e>
                    </m:rad>
                  </m:oMath>
                </m:oMathPara>
              </a14:m>
              <a:endParaRPr lang="es-ES" sz="1100"/>
            </a:p>
          </xdr:txBody>
        </xdr:sp>
      </mc:Choice>
      <mc:Fallback>
        <xdr:sp macro="" textlink="">
          <xdr:nvSpPr>
            <xdr:cNvPr id="6" name="TextBox 5"/>
            <xdr:cNvSpPr txBox="1"/>
          </xdr:nvSpPr>
          <xdr:spPr>
            <a:xfrm>
              <a:off x="2733675" y="4848225"/>
              <a:ext cx="1930528" cy="4419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𝑆𝐸𝑀=𝑆𝐷/√𝑛;𝑆𝐷=𝑆𝐸𝑀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∙√𝑛</a:t>
              </a:r>
              <a:endParaRPr lang="es-ES" sz="1100"/>
            </a:p>
          </xdr:txBody>
        </xdr:sp>
      </mc:Fallback>
    </mc:AlternateContent>
    <xdr:clientData/>
  </xdr:oneCellAnchor>
  <xdr:twoCellAnchor editAs="oneCell">
    <xdr:from>
      <xdr:col>1</xdr:col>
      <xdr:colOff>523875</xdr:colOff>
      <xdr:row>41</xdr:row>
      <xdr:rowOff>171450</xdr:rowOff>
    </xdr:from>
    <xdr:to>
      <xdr:col>8</xdr:col>
      <xdr:colOff>371475</xdr:colOff>
      <xdr:row>49</xdr:row>
      <xdr:rowOff>142875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475" y="8562975"/>
          <a:ext cx="7972425" cy="1495425"/>
        </a:xfrm>
        <a:prstGeom prst="rect">
          <a:avLst/>
        </a:prstGeom>
      </xdr:spPr>
    </xdr:pic>
    <xdr:clientData/>
  </xdr:twoCellAnchor>
  <xdr:twoCellAnchor>
    <xdr:from>
      <xdr:col>1</xdr:col>
      <xdr:colOff>723900</xdr:colOff>
      <xdr:row>50</xdr:row>
      <xdr:rowOff>19050</xdr:rowOff>
    </xdr:from>
    <xdr:to>
      <xdr:col>9</xdr:col>
      <xdr:colOff>587917</xdr:colOff>
      <xdr:row>61</xdr:row>
      <xdr:rowOff>170319</xdr:rowOff>
    </xdr:to>
    <xdr:grpSp>
      <xdr:nvGrpSpPr>
        <xdr:cNvPr id="8" name="Group 7"/>
        <xdr:cNvGrpSpPr/>
      </xdr:nvGrpSpPr>
      <xdr:grpSpPr>
        <a:xfrm>
          <a:off x="1333500" y="10125075"/>
          <a:ext cx="8788942" cy="2246769"/>
          <a:chOff x="425918" y="1981200"/>
          <a:chExt cx="8788942" cy="2246769"/>
        </a:xfrm>
      </xdr:grpSpPr>
      <xdr:sp macro="" textlink="">
        <xdr:nvSpPr>
          <xdr:cNvPr id="9" name="TextBox 12"/>
          <xdr:cNvSpPr txBox="1"/>
        </xdr:nvSpPr>
        <xdr:spPr>
          <a:xfrm>
            <a:off x="7253498" y="2494420"/>
            <a:ext cx="1961362" cy="92333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i="1"/>
              <a:t>In vitro</a:t>
            </a:r>
            <a:r>
              <a:rPr lang="en-GB"/>
              <a:t> dissolution volume: </a:t>
            </a:r>
          </a:p>
          <a:p>
            <a:pPr marL="285750" indent="-285750">
              <a:buFontTx/>
              <a:buChar char="-"/>
            </a:pPr>
            <a:r>
              <a:rPr lang="en-GB"/>
              <a:t>40 mL approx.</a:t>
            </a:r>
          </a:p>
        </xdr:txBody>
      </xdr:sp>
      <xdr:sp macro="" textlink="">
        <xdr:nvSpPr>
          <xdr:cNvPr id="10" name="Left-Right Arrow 9"/>
          <xdr:cNvSpPr/>
        </xdr:nvSpPr>
        <xdr:spPr>
          <a:xfrm>
            <a:off x="4264029" y="2755644"/>
            <a:ext cx="1327747" cy="568032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n-GB"/>
          </a:p>
        </xdr:txBody>
      </xdr:sp>
      <xdr:pic>
        <xdr:nvPicPr>
          <xdr:cNvPr id="11" name="Picture 10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65428" y="2595265"/>
            <a:ext cx="2448404" cy="1400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TextBox 10"/>
          <xdr:cNvSpPr txBox="1"/>
        </xdr:nvSpPr>
        <xdr:spPr>
          <a:xfrm>
            <a:off x="425918" y="1981200"/>
            <a:ext cx="2176389" cy="2246769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sz="2000" i="1"/>
              <a:t>In vivo</a:t>
            </a:r>
            <a:r>
              <a:rPr lang="en-GB" sz="2000"/>
              <a:t> dissolution volume: </a:t>
            </a:r>
          </a:p>
          <a:p>
            <a:pPr marL="285750" indent="-285750">
              <a:buFontTx/>
              <a:buChar char="-"/>
            </a:pPr>
            <a:r>
              <a:rPr lang="en-GB" sz="2000"/>
              <a:t>4.565 mL</a:t>
            </a:r>
          </a:p>
          <a:p>
            <a:r>
              <a:rPr lang="en-GB" sz="2000"/>
              <a:t>(3.2 mL intestinal tract + 0.365 mL formulation + 1 mL water)</a:t>
            </a:r>
          </a:p>
        </xdr:txBody>
      </xdr:sp>
    </xdr:grpSp>
    <xdr:clientData/>
  </xdr:twoCellAnchor>
  <xdr:twoCellAnchor>
    <xdr:from>
      <xdr:col>10</xdr:col>
      <xdr:colOff>571500</xdr:colOff>
      <xdr:row>41</xdr:row>
      <xdr:rowOff>0</xdr:rowOff>
    </xdr:from>
    <xdr:to>
      <xdr:col>25</xdr:col>
      <xdr:colOff>349196</xdr:colOff>
      <xdr:row>76</xdr:row>
      <xdr:rowOff>32801</xdr:rowOff>
    </xdr:to>
    <xdr:grpSp>
      <xdr:nvGrpSpPr>
        <xdr:cNvPr id="13" name="Group 12"/>
        <xdr:cNvGrpSpPr/>
      </xdr:nvGrpSpPr>
      <xdr:grpSpPr>
        <a:xfrm>
          <a:off x="10715625" y="8391525"/>
          <a:ext cx="8921696" cy="6700301"/>
          <a:chOff x="422286" y="117326"/>
          <a:chExt cx="8921696" cy="6700301"/>
        </a:xfrm>
      </xdr:grpSpPr>
      <xdr:sp macro="" textlink="">
        <xdr:nvSpPr>
          <xdr:cNvPr id="14" name="Title 1"/>
          <xdr:cNvSpPr txBox="1">
            <a:spLocks/>
          </xdr:cNvSpPr>
        </xdr:nvSpPr>
        <xdr:spPr>
          <a:xfrm>
            <a:off x="1418661" y="117326"/>
            <a:ext cx="7517747" cy="1280890"/>
          </a:xfrm>
          <a:prstGeom prst="rect">
            <a:avLst/>
          </a:prstGeom>
        </xdr:spPr>
        <xdr:txBody>
          <a:bodyPr wrap="square"/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</a:rPr>
              <a:t>Model drug #1: THC</a:t>
            </a:r>
            <a:endParaRPr lang="es-ES" b="1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</a:endParaRPr>
          </a:p>
        </xdr:txBody>
      </xdr:sp>
      <xdr:sp macro="" textlink="">
        <xdr:nvSpPr>
          <xdr:cNvPr id="15" name="TextBox 3"/>
          <xdr:cNvSpPr txBox="1"/>
        </xdr:nvSpPr>
        <xdr:spPr>
          <a:xfrm>
            <a:off x="1524001" y="757771"/>
            <a:ext cx="7412408" cy="4616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marL="457200" indent="-457200">
              <a:buClr>
                <a:schemeClr val="accent1"/>
              </a:buClr>
              <a:buFont typeface="+mj-lt"/>
              <a:buAutoNum type="arabicPeriod" startAt="4"/>
            </a:pPr>
            <a:r>
              <a:rPr lang="en-US" sz="2400" i="1"/>
              <a:t>In vitro </a:t>
            </a:r>
            <a:r>
              <a:rPr lang="en-US" sz="2400"/>
              <a:t>lipolysis (Rat)</a:t>
            </a:r>
            <a:endParaRPr lang="es-ES" sz="2400"/>
          </a:p>
        </xdr:txBody>
      </xdr:sp>
      <xdr:sp macro="" textlink="">
        <xdr:nvSpPr>
          <xdr:cNvPr id="16" name="TextBox 17"/>
          <xdr:cNvSpPr txBox="1"/>
        </xdr:nvSpPr>
        <xdr:spPr>
          <a:xfrm>
            <a:off x="422286" y="3932222"/>
            <a:ext cx="4953000" cy="2862322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Lipid-based (High lipase)</a:t>
            </a:r>
          </a:p>
          <a:p>
            <a:r>
              <a:rPr lang="en-US"/>
              <a:t>[THC]</a:t>
            </a:r>
            <a:r>
              <a:rPr lang="en-US" baseline="-25000"/>
              <a:t>AP </a:t>
            </a:r>
            <a:r>
              <a:rPr lang="en-US"/>
              <a:t>= 17 </a:t>
            </a:r>
            <a:r>
              <a:rPr lang="en-US">
                <a:latin typeface="Calibri" panose="020F0502020204030204" pitchFamily="34" charset="0"/>
              </a:rPr>
              <a:t>± 0 µg/mL</a:t>
            </a:r>
          </a:p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(AP) = 1.8 ± 0.0%  // 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(AP + LcP) = 24.0 ± 2.9%</a:t>
            </a:r>
          </a:p>
          <a:p>
            <a:endParaRPr lang="en-US" sz="900" b="1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anose="020F0502020204030204" pitchFamily="34" charset="0"/>
            </a:endParaRPr>
          </a:p>
          <a:p>
            <a:r>
              <a:rPr lang="en-US"/>
              <a:t>Lipid-based (Low lipase)</a:t>
            </a:r>
          </a:p>
          <a:p>
            <a:r>
              <a:rPr lang="en-US"/>
              <a:t>[THC]</a:t>
            </a:r>
            <a:r>
              <a:rPr lang="en-US" baseline="-25000"/>
              <a:t>AP </a:t>
            </a:r>
            <a:r>
              <a:rPr lang="en-US"/>
              <a:t>= 17 </a:t>
            </a:r>
            <a:r>
              <a:rPr lang="en-US">
                <a:latin typeface="Calibri" panose="020F0502020204030204" pitchFamily="34" charset="0"/>
              </a:rPr>
              <a:t>± 0 µg/mL</a:t>
            </a:r>
          </a:p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(AP) = 1.8 ± 0.0%  // 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(AP + LcP) = 26.2 ± 16.2%</a:t>
            </a:r>
          </a:p>
          <a:p>
            <a:endParaRPr lang="en-US" sz="900" b="1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anose="020F0502020204030204" pitchFamily="34" charset="0"/>
            </a:endParaRPr>
          </a:p>
          <a:p>
            <a:r>
              <a:rPr lang="en-US"/>
              <a:t>Lipid-based (Low lipase + albumin)</a:t>
            </a:r>
          </a:p>
          <a:p>
            <a:r>
              <a:rPr lang="en-US"/>
              <a:t>[THC]</a:t>
            </a:r>
            <a:r>
              <a:rPr lang="en-US" baseline="-25000"/>
              <a:t>AP </a:t>
            </a:r>
            <a:r>
              <a:rPr lang="en-US"/>
              <a:t>= 17 </a:t>
            </a:r>
            <a:r>
              <a:rPr lang="en-US">
                <a:latin typeface="Calibri" panose="020F0502020204030204" pitchFamily="34" charset="0"/>
              </a:rPr>
              <a:t>± 0 µg/mL</a:t>
            </a:r>
          </a:p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(AP) = 1.8 ± 0.0%  // 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(AP + LcP) = 29.5 ± 14.2%</a:t>
            </a:r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5029200" y="1240901"/>
            <a:ext cx="4210116" cy="2871092"/>
          </a:xfrm>
          <a:prstGeom prst="rect">
            <a:avLst/>
          </a:prstGeom>
        </xdr:spPr>
      </xdr:pic>
      <xdr:sp macro="" textlink="">
        <xdr:nvSpPr>
          <xdr:cNvPr id="18" name="TextBox 22"/>
          <xdr:cNvSpPr txBox="1"/>
        </xdr:nvSpPr>
        <xdr:spPr>
          <a:xfrm>
            <a:off x="5681303" y="3932222"/>
            <a:ext cx="3662679" cy="288540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wrap="square" rtlCol="0">
            <a:sp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dk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/>
              <a:t>Lipid-free (High lipase)</a:t>
            </a:r>
          </a:p>
          <a:p>
            <a:r>
              <a:rPr lang="en-US"/>
              <a:t>[THC]</a:t>
            </a:r>
            <a:r>
              <a:rPr lang="en-US" baseline="-25000"/>
              <a:t>AP </a:t>
            </a:r>
            <a:r>
              <a:rPr lang="en-US"/>
              <a:t>= 267 </a:t>
            </a:r>
            <a:r>
              <a:rPr lang="en-US">
                <a:latin typeface="Calibri" panose="020F0502020204030204" pitchFamily="34" charset="0"/>
              </a:rPr>
              <a:t>± 54 µg/mL</a:t>
            </a:r>
          </a:p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= 27.8 ± 5.7%</a:t>
            </a:r>
          </a:p>
          <a:p>
            <a:endParaRPr lang="en-US" sz="900" b="1">
              <a:effectLst>
                <a:outerShdw blurRad="38100" dist="38100" dir="2700000" algn="tl">
                  <a:srgbClr val="000000">
                    <a:alpha val="43137"/>
                  </a:srgbClr>
                </a:outerShdw>
              </a:effectLst>
              <a:latin typeface="Calibri" panose="020F0502020204030204" pitchFamily="34" charset="0"/>
            </a:endParaRPr>
          </a:p>
          <a:p>
            <a:r>
              <a:rPr lang="en-US"/>
              <a:t>Lipid-free (Low lipase)</a:t>
            </a:r>
          </a:p>
          <a:p>
            <a:r>
              <a:rPr lang="en-US"/>
              <a:t>[THC]</a:t>
            </a:r>
            <a:r>
              <a:rPr lang="en-US" baseline="-25000"/>
              <a:t>AP </a:t>
            </a:r>
            <a:r>
              <a:rPr lang="en-US"/>
              <a:t>= 101 </a:t>
            </a:r>
            <a:r>
              <a:rPr lang="en-US">
                <a:latin typeface="Calibri" panose="020F0502020204030204" pitchFamily="34" charset="0"/>
              </a:rPr>
              <a:t>± 44 µg/mL</a:t>
            </a:r>
          </a:p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= 10.5 ± 4.5%</a:t>
            </a:r>
          </a:p>
          <a:p>
            <a:endParaRPr lang="en-US" sz="900"/>
          </a:p>
          <a:p>
            <a:r>
              <a:rPr lang="en-US"/>
              <a:t>Lipid-free (Low lipase + albumin)</a:t>
            </a:r>
          </a:p>
          <a:p>
            <a:r>
              <a:rPr lang="en-US"/>
              <a:t>[THC]</a:t>
            </a:r>
            <a:r>
              <a:rPr lang="en-US" baseline="-25000"/>
              <a:t>AP </a:t>
            </a:r>
            <a:r>
              <a:rPr lang="en-US"/>
              <a:t>= 263 </a:t>
            </a:r>
            <a:r>
              <a:rPr lang="en-US">
                <a:latin typeface="Calibri" panose="020F0502020204030204" pitchFamily="34" charset="0"/>
              </a:rPr>
              <a:t>± 62 µg/mL</a:t>
            </a:r>
          </a:p>
          <a:p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F</a:t>
            </a:r>
            <a:r>
              <a:rPr lang="en-US" b="1" baseline="-25000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a</a:t>
            </a:r>
            <a:r>
              <a:rPr lang="en-US" b="1">
                <a:effectLst>
                  <a:outerShdw blurRad="38100" dist="38100" dir="2700000" algn="tl">
                    <a:srgbClr val="000000">
                      <a:alpha val="43137"/>
                    </a:srgbClr>
                  </a:outerShdw>
                </a:effectLst>
                <a:latin typeface="Calibri" panose="020F0502020204030204" pitchFamily="34" charset="0"/>
              </a:rPr>
              <a:t> = 27.4 ± 6.4%</a:t>
            </a:r>
          </a:p>
        </xdr:txBody>
      </xdr:sp>
      <xdr:pic>
        <xdr:nvPicPr>
          <xdr:cNvPr id="19" name="Picture 18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559694" y="1219437"/>
            <a:ext cx="3829779" cy="2799658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" name="Rectangle 19"/>
              <xdr:cNvSpPr/>
            </xdr:nvSpPr>
            <xdr:spPr>
              <a:xfrm>
                <a:off x="4718139" y="201311"/>
                <a:ext cx="4343401" cy="805092"/>
              </a:xfrm>
              <a:prstGeom prst="rect">
                <a:avLst/>
              </a:prstGeom>
            </xdr:spPr>
            <xdr:txBody>
              <a:bodyPr wrap="square">
                <a:spAutoFit/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990600" algn="just">
                  <a:buClr>
                    <a:schemeClr val="accent2"/>
                  </a:buClr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b>
                        <m:sSubPr>
                          <m:ctrlPr>
                            <a:rPr lang="es-ES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m:rPr>
                              <m:nor/>
                            </m:rPr>
                            <a:rPr lang="en-GB"/>
                            <m:t>F</m:t>
                          </m:r>
                        </m:e>
                        <m:sub>
                          <m:r>
                            <m:rPr>
                              <m:nor/>
                            </m:rPr>
                            <a:rPr lang="en-GB"/>
                            <m:t>a</m:t>
                          </m:r>
                        </m:sub>
                      </m:sSub>
                      <m:r>
                        <a:rPr lang="en-US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s-ES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s-ES" i="1">
                                  <a:latin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m:rPr>
                                  <m:nor/>
                                </m:rPr>
                                <a:rPr lang="en-GB"/>
                                <m:t>[</m:t>
                              </m:r>
                              <m:r>
                                <m:rPr>
                                  <m:nor/>
                                </m:rPr>
                                <a:rPr lang="en-GB"/>
                                <m:t>THC</m:t>
                              </m:r>
                              <m:r>
                                <m:rPr>
                                  <m:nor/>
                                </m:rPr>
                                <a:rPr lang="en-GB"/>
                                <m:t>]</m:t>
                              </m:r>
                            </m:e>
                            <m:sub>
                              <m:r>
                                <m:rPr>
                                  <m:nor/>
                                </m:rPr>
                                <a:rPr lang="en-GB"/>
                                <m:t>AP</m:t>
                              </m:r>
                            </m:sub>
                          </m:sSub>
                          <m:r>
                            <m:rPr>
                              <m:nor/>
                            </m:rPr>
                            <a:rPr lang="en-GB"/>
                            <m:t> </m:t>
                          </m:r>
                          <m:d>
                            <m:dPr>
                              <m:ctrlPr>
                                <a:rPr lang="es-ES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f>
                                <m:fPr>
                                  <m:ctrlPr>
                                    <a:rPr lang="es-ES" i="1">
                                      <a:latin typeface="Cambria Math" panose="02040503050406030204" pitchFamily="18" charset="0"/>
                                    </a:rPr>
                                  </m:ctrlPr>
                                </m:fPr>
                                <m:num>
                                  <m:r>
                                    <m:rPr>
                                      <m:nor/>
                                    </m:rPr>
                                    <a:rPr lang="en-GB"/>
                                    <m:t>mg</m:t>
                                  </m:r>
                                </m:num>
                                <m:den>
                                  <m:r>
                                    <m:rPr>
                                      <m:nor/>
                                    </m:rPr>
                                    <a:rPr lang="en-GB"/>
                                    <m:t>mL</m:t>
                                  </m:r>
                                </m:den>
                              </m:f>
                            </m:e>
                          </m:d>
                          <m:r>
                            <m:rPr>
                              <m:nor/>
                            </m:rPr>
                            <a:rPr lang="en-GB"/>
                            <m:t>∙</m:t>
                          </m:r>
                          <m:r>
                            <m:rPr>
                              <m:nor/>
                            </m:rPr>
                            <a:rPr lang="en-US"/>
                            <m:t> </m:t>
                          </m:r>
                          <m:r>
                            <m:rPr>
                              <m:nor/>
                            </m:rPr>
                            <a:rPr lang="en-US" b="0"/>
                            <m:t>4.565 </m:t>
                          </m:r>
                          <m:r>
                            <m:rPr>
                              <m:nor/>
                            </m:rPr>
                            <a:rPr lang="en-GB"/>
                            <m:t>mL</m:t>
                          </m:r>
                          <m:r>
                            <m:rPr>
                              <m:nor/>
                            </m:rPr>
                            <a:rPr lang="en-GB"/>
                            <m:t> </m:t>
                          </m:r>
                        </m:num>
                        <m:den>
                          <m:r>
                            <m:rPr>
                              <m:nor/>
                            </m:rPr>
                            <a:rPr lang="en-GB"/>
                            <m:t> </m:t>
                          </m:r>
                          <m:r>
                            <m:rPr>
                              <m:nor/>
                            </m:rPr>
                            <a:rPr lang="en-US" b="0" i="0"/>
                            <m:t>4.38 </m:t>
                          </m:r>
                          <m:r>
                            <m:rPr>
                              <m:nor/>
                            </m:rPr>
                            <a:rPr lang="en-GB"/>
                            <m:t>mg</m:t>
                          </m:r>
                        </m:den>
                      </m:f>
                    </m:oMath>
                  </m:oMathPara>
                </a14:m>
                <a:endParaRPr lang="en-GB" sz="2200"/>
              </a:p>
            </xdr:txBody>
          </xdr:sp>
        </mc:Choice>
        <mc:Fallback>
          <xdr:sp macro="" textlink="">
            <xdr:nvSpPr>
              <xdr:cNvPr id="20" name="Rectangle 19"/>
              <xdr:cNvSpPr/>
            </xdr:nvSpPr>
            <xdr:spPr>
              <a:xfrm>
                <a:off x="4718139" y="201311"/>
                <a:ext cx="4343401" cy="805092"/>
              </a:xfrm>
              <a:prstGeom prst="rect">
                <a:avLst/>
              </a:prstGeom>
            </xdr:spPr>
            <xdr:txBody>
              <a:bodyPr wrap="square">
                <a:spAutoFit/>
              </a:bodyPr>
              <a:lstStyle>
                <a:defPPr>
                  <a:defRPr lang="en-US"/>
                </a:defPPr>
                <a:lvl1pPr marL="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914400" rtl="0" eaLnBrk="1" latinLnBrk="0" hangingPunct="1">
                  <a:defRPr sz="1800" kern="12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marL="990600" algn="just">
                  <a:buClr>
                    <a:schemeClr val="accent2"/>
                  </a:buClr>
                </a:pPr>
                <a:r>
                  <a:rPr lang="en-GB" i="0"/>
                  <a:t>"F</a:t>
                </a:r>
                <a:r>
                  <a:rPr lang="en-GB" i="0">
                    <a:latin typeface="Cambria Math" panose="02040503050406030204" pitchFamily="18" charset="0"/>
                  </a:rPr>
                  <a:t>" </a:t>
                </a:r>
                <a:r>
                  <a:rPr lang="es-ES" i="0">
                    <a:latin typeface="Cambria Math" panose="02040503050406030204" pitchFamily="18" charset="0"/>
                  </a:rPr>
                  <a:t>_</a:t>
                </a:r>
                <a:r>
                  <a:rPr lang="en-GB" i="0">
                    <a:latin typeface="Cambria Math" panose="02040503050406030204" pitchFamily="18" charset="0"/>
                  </a:rPr>
                  <a:t>"</a:t>
                </a:r>
                <a:r>
                  <a:rPr lang="en-GB" i="0"/>
                  <a:t>a</a:t>
                </a:r>
                <a:r>
                  <a:rPr lang="en-GB" i="0">
                    <a:latin typeface="Cambria Math" panose="02040503050406030204" pitchFamily="18" charset="0"/>
                  </a:rPr>
                  <a:t>" </a:t>
                </a:r>
                <a:r>
                  <a:rPr lang="en-US" b="0" i="0">
                    <a:latin typeface="Cambria Math" panose="02040503050406030204" pitchFamily="18" charset="0"/>
                  </a:rPr>
                  <a:t>=</a:t>
                </a:r>
                <a:r>
                  <a:rPr lang="es-ES" i="0">
                    <a:latin typeface="Cambria Math" panose="02040503050406030204" pitchFamily="18" charset="0"/>
                  </a:rPr>
                  <a:t>(〖</a:t>
                </a:r>
                <a:r>
                  <a:rPr lang="en-GB" i="0">
                    <a:latin typeface="Cambria Math" panose="02040503050406030204" pitchFamily="18" charset="0"/>
                  </a:rPr>
                  <a:t>"</a:t>
                </a:r>
                <a:r>
                  <a:rPr lang="en-GB" i="0"/>
                  <a:t>[THC]</a:t>
                </a:r>
                <a:r>
                  <a:rPr lang="en-GB" i="0">
                    <a:latin typeface="Cambria Math" panose="02040503050406030204" pitchFamily="18" charset="0"/>
                  </a:rPr>
                  <a:t>" </a:t>
                </a:r>
                <a:r>
                  <a:rPr lang="es-ES" i="0">
                    <a:latin typeface="Cambria Math" panose="02040503050406030204" pitchFamily="18" charset="0"/>
                  </a:rPr>
                  <a:t>〗_</a:t>
                </a:r>
                <a:r>
                  <a:rPr lang="en-GB" i="0">
                    <a:latin typeface="Cambria Math" panose="02040503050406030204" pitchFamily="18" charset="0"/>
                  </a:rPr>
                  <a:t>"</a:t>
                </a:r>
                <a:r>
                  <a:rPr lang="en-GB" i="0"/>
                  <a:t>AP</a:t>
                </a:r>
                <a:r>
                  <a:rPr lang="en-GB" i="0">
                    <a:latin typeface="Cambria Math" panose="02040503050406030204" pitchFamily="18" charset="0"/>
                  </a:rPr>
                  <a:t>"  "</a:t>
                </a:r>
                <a:r>
                  <a:rPr lang="en-GB" i="0"/>
                  <a:t> </a:t>
                </a:r>
                <a:r>
                  <a:rPr lang="es-ES" i="0">
                    <a:latin typeface="Cambria Math" panose="02040503050406030204" pitchFamily="18" charset="0"/>
                  </a:rPr>
                  <a:t>" (</a:t>
                </a:r>
                <a:r>
                  <a:rPr lang="en-GB" i="0">
                    <a:latin typeface="Cambria Math" panose="02040503050406030204" pitchFamily="18" charset="0"/>
                  </a:rPr>
                  <a:t>"</a:t>
                </a:r>
                <a:r>
                  <a:rPr lang="en-GB" i="0"/>
                  <a:t>mg</a:t>
                </a:r>
                <a:r>
                  <a:rPr lang="en-GB" i="0">
                    <a:latin typeface="Cambria Math" panose="02040503050406030204" pitchFamily="18" charset="0"/>
                  </a:rPr>
                  <a:t>" </a:t>
                </a:r>
                <a:r>
                  <a:rPr lang="es-ES" i="0">
                    <a:latin typeface="Cambria Math" panose="02040503050406030204" pitchFamily="18" charset="0"/>
                  </a:rPr>
                  <a:t>/</a:t>
                </a:r>
                <a:r>
                  <a:rPr lang="en-GB" i="0">
                    <a:latin typeface="Cambria Math" panose="02040503050406030204" pitchFamily="18" charset="0"/>
                  </a:rPr>
                  <a:t>"</a:t>
                </a:r>
                <a:r>
                  <a:rPr lang="en-GB" i="0"/>
                  <a:t>mL</a:t>
                </a:r>
                <a:r>
                  <a:rPr lang="en-GB" i="0">
                    <a:latin typeface="Cambria Math" panose="02040503050406030204" pitchFamily="18" charset="0"/>
                  </a:rPr>
                  <a:t>" )"</a:t>
                </a:r>
                <a:r>
                  <a:rPr lang="en-GB" i="0"/>
                  <a:t>∙</a:t>
                </a:r>
                <a:r>
                  <a:rPr lang="en-US" i="0"/>
                  <a:t> </a:t>
                </a:r>
                <a:r>
                  <a:rPr lang="en-US" b="0" i="0"/>
                  <a:t>4.565 </a:t>
                </a:r>
                <a:r>
                  <a:rPr lang="en-GB" i="0"/>
                  <a:t>mL </a:t>
                </a:r>
                <a:r>
                  <a:rPr lang="en-GB" i="0">
                    <a:latin typeface="Cambria Math" panose="02040503050406030204" pitchFamily="18" charset="0"/>
                  </a:rPr>
                  <a:t>" </a:t>
                </a:r>
                <a:r>
                  <a:rPr lang="es-ES" i="0">
                    <a:latin typeface="Cambria Math" panose="02040503050406030204" pitchFamily="18" charset="0"/>
                  </a:rPr>
                  <a:t>)/</a:t>
                </a:r>
                <a:r>
                  <a:rPr lang="en-GB" i="0">
                    <a:latin typeface="Cambria Math" panose="02040503050406030204" pitchFamily="18" charset="0"/>
                  </a:rPr>
                  <a:t>"</a:t>
                </a:r>
                <a:r>
                  <a:rPr lang="en-GB" i="0"/>
                  <a:t> </a:t>
                </a:r>
                <a:r>
                  <a:rPr lang="en-US" b="0" i="0"/>
                  <a:t>4.38 </a:t>
                </a:r>
                <a:r>
                  <a:rPr lang="en-GB" i="0"/>
                  <a:t>mg</a:t>
                </a:r>
                <a:r>
                  <a:rPr lang="en-GB" i="0">
                    <a:latin typeface="Cambria Math" panose="02040503050406030204" pitchFamily="18" charset="0"/>
                  </a:rPr>
                  <a:t>" </a:t>
                </a:r>
                <a:endParaRPr lang="en-GB" sz="2200"/>
              </a:p>
            </xdr:txBody>
          </xdr:sp>
        </mc:Fallback>
      </mc:AlternateContent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uadratic%20Regression%20Progr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lot"/>
      <sheetName val="Summary"/>
      <sheetName val="Interpretation"/>
      <sheetName val="Stats"/>
      <sheetName val="VB Code"/>
      <sheetName val="Worksheet"/>
      <sheetName val="Working Notes"/>
    </sheetNames>
    <sheetDataSet>
      <sheetData sheetId="0"/>
      <sheetData sheetId="1"/>
      <sheetData sheetId="2"/>
      <sheetData sheetId="3"/>
      <sheetData sheetId="4">
        <row r="6">
          <cell r="B6">
            <v>6</v>
          </cell>
        </row>
      </sheetData>
      <sheetData sheetId="5" refreshError="1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zoomScaleNormal="100" workbookViewId="0">
      <selection activeCell="G20" sqref="G20"/>
    </sheetView>
  </sheetViews>
  <sheetFormatPr defaultColWidth="11.42578125" defaultRowHeight="15" x14ac:dyDescent="0.25"/>
  <cols>
    <col min="2" max="2" width="20.5703125" customWidth="1"/>
    <col min="3" max="3" width="14.140625" bestFit="1" customWidth="1"/>
    <col min="4" max="4" width="15.85546875" customWidth="1"/>
    <col min="5" max="5" width="16.140625" bestFit="1" customWidth="1"/>
    <col min="6" max="6" width="15.85546875" customWidth="1"/>
    <col min="7" max="7" width="13.140625" bestFit="1" customWidth="1"/>
    <col min="8" max="8" width="12.7109375" customWidth="1"/>
  </cols>
  <sheetData>
    <row r="1" spans="1:14" x14ac:dyDescent="0.25">
      <c r="A1" s="87" t="s">
        <v>0</v>
      </c>
      <c r="B1" s="88"/>
      <c r="C1" s="88"/>
      <c r="D1" s="89" t="s">
        <v>1</v>
      </c>
      <c r="E1" s="89"/>
      <c r="F1" s="73" t="s">
        <v>2</v>
      </c>
      <c r="G1" s="73" t="s">
        <v>3</v>
      </c>
      <c r="H1" s="89" t="s">
        <v>4</v>
      </c>
      <c r="I1" s="89"/>
      <c r="J1" s="73" t="s">
        <v>5</v>
      </c>
      <c r="N1" s="3"/>
    </row>
    <row r="2" spans="1:14" x14ac:dyDescent="0.25">
      <c r="A2" s="87"/>
      <c r="B2" s="90" t="s">
        <v>6</v>
      </c>
      <c r="C2" s="91"/>
      <c r="D2" s="1">
        <v>6</v>
      </c>
      <c r="E2" s="1">
        <v>6</v>
      </c>
      <c r="F2" s="1">
        <v>4</v>
      </c>
      <c r="G2" s="1">
        <v>11</v>
      </c>
      <c r="H2" s="1">
        <v>4</v>
      </c>
      <c r="I2" s="1">
        <v>4</v>
      </c>
      <c r="J2" s="1">
        <v>8</v>
      </c>
      <c r="N2" s="3"/>
    </row>
    <row r="3" spans="1:14" x14ac:dyDescent="0.25">
      <c r="A3" s="87"/>
      <c r="B3" s="4" t="s">
        <v>7</v>
      </c>
      <c r="C3" s="5" t="s">
        <v>8</v>
      </c>
      <c r="D3" s="1">
        <v>2.2000000000000002</v>
      </c>
      <c r="E3" s="1">
        <v>4</v>
      </c>
      <c r="F3" s="1">
        <v>2</v>
      </c>
      <c r="G3" s="1">
        <v>5</v>
      </c>
      <c r="H3" s="4">
        <v>5</v>
      </c>
      <c r="I3" s="4">
        <v>5</v>
      </c>
      <c r="J3" s="1">
        <v>4</v>
      </c>
      <c r="N3" s="3"/>
    </row>
    <row r="4" spans="1:14" ht="30" x14ac:dyDescent="0.25">
      <c r="A4" s="87"/>
      <c r="B4" s="81" t="s">
        <v>9</v>
      </c>
      <c r="C4" s="81"/>
      <c r="D4" s="90" t="s">
        <v>10</v>
      </c>
      <c r="E4" s="91"/>
      <c r="F4" s="1" t="s">
        <v>11</v>
      </c>
      <c r="G4" s="6" t="s">
        <v>12</v>
      </c>
      <c r="H4" s="90" t="s">
        <v>13</v>
      </c>
      <c r="I4" s="91"/>
      <c r="J4" s="1" t="s">
        <v>13</v>
      </c>
      <c r="N4" s="3"/>
    </row>
    <row r="5" spans="1:14" x14ac:dyDescent="0.25">
      <c r="A5" s="87"/>
      <c r="B5" s="7" t="s">
        <v>14</v>
      </c>
      <c r="C5" s="8" t="s">
        <v>15</v>
      </c>
      <c r="D5" s="4"/>
      <c r="E5" s="8"/>
      <c r="F5" s="1"/>
      <c r="G5" s="6"/>
      <c r="H5" s="4"/>
      <c r="I5" s="8"/>
      <c r="J5" s="1"/>
      <c r="N5" s="3"/>
    </row>
    <row r="6" spans="1:14" x14ac:dyDescent="0.25">
      <c r="A6" s="87"/>
      <c r="B6" s="92" t="s">
        <v>16</v>
      </c>
      <c r="C6" s="9" t="s">
        <v>17</v>
      </c>
      <c r="D6" s="10">
        <v>12100</v>
      </c>
      <c r="E6" s="10">
        <v>16800</v>
      </c>
      <c r="F6" s="11">
        <v>1272</v>
      </c>
      <c r="G6" s="10">
        <v>4330</v>
      </c>
      <c r="H6" s="10">
        <v>9907</v>
      </c>
      <c r="I6" s="10">
        <v>7094</v>
      </c>
      <c r="J6" s="10">
        <v>7028</v>
      </c>
      <c r="N6" s="3"/>
    </row>
    <row r="7" spans="1:14" ht="18" customHeight="1" x14ac:dyDescent="0.25">
      <c r="A7" s="87"/>
      <c r="B7" s="93"/>
      <c r="C7" s="9" t="s">
        <v>18</v>
      </c>
      <c r="D7" s="8">
        <v>4620</v>
      </c>
      <c r="E7" s="8">
        <v>4000</v>
      </c>
      <c r="F7" s="8">
        <v>90</v>
      </c>
      <c r="G7" s="10">
        <v>620</v>
      </c>
      <c r="H7" s="10">
        <v>3785</v>
      </c>
      <c r="I7" s="10">
        <v>2248</v>
      </c>
      <c r="J7" s="10">
        <v>5829</v>
      </c>
      <c r="K7" t="s">
        <v>19</v>
      </c>
      <c r="N7" s="3"/>
    </row>
    <row r="8" spans="1:14" x14ac:dyDescent="0.25">
      <c r="A8" s="87"/>
      <c r="B8" s="92" t="s">
        <v>20</v>
      </c>
      <c r="C8" s="9" t="s">
        <v>17</v>
      </c>
      <c r="D8" s="12">
        <f t="shared" ref="D8:J8" si="0">D6/D3</f>
        <v>5500</v>
      </c>
      <c r="E8" s="12">
        <f t="shared" si="0"/>
        <v>4200</v>
      </c>
      <c r="F8" s="12">
        <f t="shared" si="0"/>
        <v>636</v>
      </c>
      <c r="G8" s="12">
        <f t="shared" si="0"/>
        <v>866</v>
      </c>
      <c r="H8" s="12">
        <f t="shared" si="0"/>
        <v>1981.4</v>
      </c>
      <c r="I8" s="12">
        <f t="shared" si="0"/>
        <v>1418.8</v>
      </c>
      <c r="J8" s="12">
        <f t="shared" si="0"/>
        <v>1757</v>
      </c>
      <c r="K8" s="13">
        <f>(D8*D2+E8*E2+F8*F2+G8*G2+H8*H2+I8*I2+J8*J2)/(D2+E2+F2+G2+H2+I2+J2)</f>
        <v>2277.3674418604651</v>
      </c>
      <c r="L8" t="s">
        <v>21</v>
      </c>
      <c r="M8" t="s">
        <v>22</v>
      </c>
      <c r="N8" s="3"/>
    </row>
    <row r="9" spans="1:14" ht="20.25" customHeight="1" x14ac:dyDescent="0.25">
      <c r="A9" s="87"/>
      <c r="B9" s="93"/>
      <c r="C9" s="9" t="s">
        <v>18</v>
      </c>
      <c r="D9" s="12">
        <f t="shared" ref="D9:J9" si="1">D7/D3</f>
        <v>2100</v>
      </c>
      <c r="E9" s="12">
        <f t="shared" si="1"/>
        <v>1000</v>
      </c>
      <c r="F9" s="12">
        <f t="shared" si="1"/>
        <v>45</v>
      </c>
      <c r="G9" s="12">
        <f t="shared" si="1"/>
        <v>124</v>
      </c>
      <c r="H9" s="12">
        <f t="shared" si="1"/>
        <v>757</v>
      </c>
      <c r="I9" s="12">
        <f t="shared" si="1"/>
        <v>449.6</v>
      </c>
      <c r="J9" s="12">
        <f t="shared" si="1"/>
        <v>1457.25</v>
      </c>
      <c r="L9">
        <f>((D9^2+D8^2)*D2+(E9^2+E8^2)*E2+(F9^2+F8^2)*F2+(G9^2+G8^2)*G2+(H9^2+H8^2)*H2+(I9^2+I8^2)*I2+(J9^2+J8^2)*J2)-(D2+E2+F2+G2+H2+I2+J2)*K8^2</f>
        <v>175370956.73441863</v>
      </c>
      <c r="M9" s="14">
        <f>SQRT(L9/(D2+E2+F2+G2+H2+I2+J2))</f>
        <v>2019.5034891430364</v>
      </c>
      <c r="N9" s="3"/>
    </row>
    <row r="10" spans="1:14" ht="15" customHeight="1" x14ac:dyDescent="0.25">
      <c r="A10" s="87"/>
      <c r="B10" s="80" t="s">
        <v>20</v>
      </c>
      <c r="C10" s="80"/>
      <c r="D10" s="81" t="str">
        <f>TEXT(K8,"0")&amp;" ± "&amp;TEXT(M9,"0")</f>
        <v>2277 ± 2020</v>
      </c>
      <c r="E10" s="81"/>
      <c r="F10" s="81"/>
      <c r="G10" s="81"/>
      <c r="H10" s="81"/>
      <c r="I10" s="81"/>
      <c r="J10" s="81"/>
      <c r="N10" s="3"/>
    </row>
    <row r="11" spans="1:14" x14ac:dyDescent="0.25">
      <c r="A11" s="87"/>
      <c r="B11" s="80"/>
      <c r="C11" s="80"/>
      <c r="D11" s="81"/>
      <c r="E11" s="81"/>
      <c r="F11" s="81"/>
      <c r="G11" s="81"/>
      <c r="H11" s="81"/>
      <c r="I11" s="81"/>
      <c r="J11" s="81"/>
      <c r="K11" t="s">
        <v>19</v>
      </c>
      <c r="N11" s="3"/>
    </row>
    <row r="12" spans="1:14" x14ac:dyDescent="0.25">
      <c r="A12" s="87"/>
      <c r="B12" s="82" t="s">
        <v>23</v>
      </c>
      <c r="C12" s="15" t="s">
        <v>17</v>
      </c>
      <c r="D12" s="16">
        <v>3.6</v>
      </c>
      <c r="E12" s="6">
        <v>3.44</v>
      </c>
      <c r="F12" s="17">
        <v>10.86</v>
      </c>
      <c r="G12" s="18">
        <v>14</v>
      </c>
      <c r="H12" s="6">
        <v>10.64</v>
      </c>
      <c r="I12" s="6">
        <v>10.56</v>
      </c>
      <c r="J12" s="1">
        <v>11.13</v>
      </c>
      <c r="K12" s="19">
        <f>(D12*D2+E12*E2+F12*F2+G12*G2+H12*H2+I12*I2+J12*J2)/(D2+E2+F2+G2+H2+I2+J2)</f>
        <v>9.6167441860465122</v>
      </c>
      <c r="L12" t="s">
        <v>21</v>
      </c>
      <c r="M12" t="s">
        <v>22</v>
      </c>
      <c r="N12" s="20">
        <f>K12+M13</f>
        <v>15.303174267749277</v>
      </c>
    </row>
    <row r="13" spans="1:14" ht="15" customHeight="1" x14ac:dyDescent="0.25">
      <c r="A13" s="87"/>
      <c r="B13" s="83"/>
      <c r="C13" s="21" t="s">
        <v>18</v>
      </c>
      <c r="D13" s="16">
        <v>0.9</v>
      </c>
      <c r="E13" s="6">
        <v>0.96</v>
      </c>
      <c r="F13" s="17">
        <v>1.83</v>
      </c>
      <c r="G13" s="1">
        <v>0</v>
      </c>
      <c r="H13" s="6">
        <v>9.44</v>
      </c>
      <c r="I13" s="6">
        <v>3.92</v>
      </c>
      <c r="J13" s="1">
        <v>5.69</v>
      </c>
      <c r="L13">
        <f>((D13^2+D12^2)*D2+(E13^2+E12^2)*E2+(F13^2+F12^2)*F2+(G13^2+G12^2)*G2+(H13^2+H12^2)*H2+(I13^2+I12^2)*I2+(J13^2+J12^2)*J2)-(D2+E2+F2+G2+H2+I2+J2)*K12^2</f>
        <v>1390.4259441860468</v>
      </c>
      <c r="M13" s="20">
        <f>SQRT(L13/(D2+E2+F2+G2+H2+I2+J2))</f>
        <v>5.6864300817027651</v>
      </c>
      <c r="N13" s="20">
        <f>K12-M13</f>
        <v>3.9303141043437471</v>
      </c>
    </row>
    <row r="14" spans="1:14" x14ac:dyDescent="0.25">
      <c r="A14" s="87"/>
      <c r="B14" s="84"/>
      <c r="C14" s="22" t="s">
        <v>24</v>
      </c>
      <c r="D14" s="85" t="str">
        <f>TEXT(K12,"0.00")&amp;" ± "&amp;TEXT(M13,"0.00")</f>
        <v>9.62 ± 5.69</v>
      </c>
      <c r="E14" s="85"/>
      <c r="F14" s="85"/>
      <c r="G14" s="85"/>
      <c r="H14" s="85"/>
      <c r="I14" s="85"/>
      <c r="J14" s="85"/>
      <c r="K14" s="23"/>
    </row>
    <row r="15" spans="1:14" x14ac:dyDescent="0.25">
      <c r="B15" t="s">
        <v>25</v>
      </c>
      <c r="C15" s="24">
        <f>1-K12/21</f>
        <v>0.54205980066445181</v>
      </c>
      <c r="D15">
        <f>1-N12/21</f>
        <v>0.27127741582146303</v>
      </c>
      <c r="E15">
        <f>1-N13/21</f>
        <v>0.81284218550744058</v>
      </c>
    </row>
    <row r="16" spans="1:14" x14ac:dyDescent="0.25">
      <c r="D16" s="24">
        <f>C15-D15</f>
        <v>0.27078238484298878</v>
      </c>
      <c r="E16">
        <f>E15-C15</f>
        <v>0.27078238484298878</v>
      </c>
    </row>
    <row r="18" spans="1:5" x14ac:dyDescent="0.25">
      <c r="A18" s="86" t="s">
        <v>26</v>
      </c>
      <c r="B18" s="88"/>
      <c r="C18" s="88"/>
      <c r="D18" s="73" t="s">
        <v>5</v>
      </c>
      <c r="E18" s="74" t="s">
        <v>27</v>
      </c>
    </row>
    <row r="19" spans="1:5" x14ac:dyDescent="0.25">
      <c r="A19" s="87"/>
      <c r="B19" s="4" t="s">
        <v>7</v>
      </c>
      <c r="C19" s="9" t="s">
        <v>8</v>
      </c>
      <c r="D19" s="2">
        <v>20</v>
      </c>
      <c r="E19" s="25">
        <v>10</v>
      </c>
    </row>
    <row r="20" spans="1:5" x14ac:dyDescent="0.25">
      <c r="A20" s="87"/>
      <c r="B20" s="81" t="s">
        <v>9</v>
      </c>
      <c r="C20" s="81"/>
      <c r="D20" s="1" t="s">
        <v>28</v>
      </c>
      <c r="E20" s="1" t="s">
        <v>13</v>
      </c>
    </row>
    <row r="21" spans="1:5" x14ac:dyDescent="0.25">
      <c r="A21" s="87"/>
      <c r="B21" s="75" t="s">
        <v>16</v>
      </c>
      <c r="C21" s="9" t="s">
        <v>17</v>
      </c>
      <c r="D21" s="12">
        <v>1865.3213000000001</v>
      </c>
      <c r="E21" s="10">
        <v>762</v>
      </c>
    </row>
    <row r="22" spans="1:5" x14ac:dyDescent="0.25">
      <c r="A22" s="87"/>
      <c r="B22" s="76"/>
      <c r="C22" s="9" t="s">
        <v>18</v>
      </c>
      <c r="D22" s="26"/>
      <c r="E22" s="26">
        <v>526.74</v>
      </c>
    </row>
    <row r="23" spans="1:5" x14ac:dyDescent="0.25">
      <c r="A23" s="87"/>
      <c r="B23" s="75" t="s">
        <v>20</v>
      </c>
      <c r="C23" s="9" t="s">
        <v>17</v>
      </c>
      <c r="D23" s="28">
        <f>D21/D19</f>
        <v>93.266064999999998</v>
      </c>
      <c r="E23" s="26">
        <f>E21/E19</f>
        <v>76.2</v>
      </c>
    </row>
    <row r="24" spans="1:5" x14ac:dyDescent="0.25">
      <c r="A24" s="87"/>
      <c r="B24" s="76"/>
      <c r="C24" s="9" t="s">
        <v>18</v>
      </c>
      <c r="D24" s="26" t="s">
        <v>28</v>
      </c>
      <c r="E24" s="28">
        <f>E22/E19</f>
        <v>52.673999999999999</v>
      </c>
    </row>
    <row r="25" spans="1:5" x14ac:dyDescent="0.25">
      <c r="A25" s="87"/>
      <c r="B25" s="77" t="s">
        <v>29</v>
      </c>
      <c r="C25" s="9" t="s">
        <v>17</v>
      </c>
      <c r="D25" s="29">
        <f>D23/K8</f>
        <v>4.0953454978616681E-2</v>
      </c>
      <c r="E25" s="29">
        <v>3.345968621460111E-2</v>
      </c>
    </row>
    <row r="26" spans="1:5" x14ac:dyDescent="0.25">
      <c r="A26" s="87"/>
      <c r="B26" s="78"/>
      <c r="C26" s="9" t="s">
        <v>18</v>
      </c>
      <c r="D26" s="29">
        <f>D25*M9/K8</f>
        <v>3.6316337759801011E-2</v>
      </c>
      <c r="E26" s="29">
        <v>3.7620995163332643E-2</v>
      </c>
    </row>
    <row r="27" spans="1:5" x14ac:dyDescent="0.25">
      <c r="A27" s="87"/>
      <c r="B27" s="78"/>
      <c r="C27" s="30" t="s">
        <v>30</v>
      </c>
      <c r="D27" s="31" t="s">
        <v>31</v>
      </c>
      <c r="E27" s="31" t="s">
        <v>32</v>
      </c>
    </row>
    <row r="32" spans="1:5" x14ac:dyDescent="0.25">
      <c r="D32" s="32" t="s">
        <v>33</v>
      </c>
      <c r="E32" s="32" t="s">
        <v>34</v>
      </c>
    </row>
    <row r="33" spans="2:5" x14ac:dyDescent="0.25">
      <c r="B33" s="79" t="s">
        <v>35</v>
      </c>
      <c r="C33" s="32" t="s">
        <v>17</v>
      </c>
      <c r="D33" s="33">
        <f>D25/(1-$K$12/21)</f>
        <v>7.5551544180948893E-2</v>
      </c>
      <c r="E33" s="33">
        <f>E25/(1-$K$12/21)</f>
        <v>6.1726927865867455E-2</v>
      </c>
    </row>
    <row r="34" spans="2:5" x14ac:dyDescent="0.25">
      <c r="B34" s="79"/>
      <c r="C34" s="32" t="s">
        <v>18</v>
      </c>
      <c r="D34" s="33">
        <f>D33*SQRT((D26/D25)^2+($M$13/$K$12)^2)</f>
        <v>8.0525493257515512E-2</v>
      </c>
      <c r="E34" s="33">
        <f>E33*SQRT((E26/E25)^2+($M$13/$K$12)^2)</f>
        <v>7.8416155223395526E-2</v>
      </c>
    </row>
    <row r="35" spans="2:5" x14ac:dyDescent="0.25">
      <c r="B35" s="79"/>
      <c r="C35" s="32" t="s">
        <v>36</v>
      </c>
      <c r="D35" s="35" t="str">
        <f>TEXT(D33*100,"0.00")&amp;" ± "&amp;TEXT(D34*100,"0.00")</f>
        <v>7.56 ± 8.05</v>
      </c>
      <c r="E35" s="35" t="str">
        <f t="shared" ref="E35" si="2">TEXT(E33*100,"0.00")&amp;" ± "&amp;TEXT(E34*100,"0.00")</f>
        <v>6.17 ± 7.84</v>
      </c>
    </row>
  </sheetData>
  <mergeCells count="21">
    <mergeCell ref="D1:E1"/>
    <mergeCell ref="H1:I1"/>
    <mergeCell ref="B2:C2"/>
    <mergeCell ref="B4:C4"/>
    <mergeCell ref="D4:E4"/>
    <mergeCell ref="H4:I4"/>
    <mergeCell ref="A18:A27"/>
    <mergeCell ref="B18:C18"/>
    <mergeCell ref="B20:C20"/>
    <mergeCell ref="B21:B22"/>
    <mergeCell ref="A1:A14"/>
    <mergeCell ref="B1:C1"/>
    <mergeCell ref="B6:B7"/>
    <mergeCell ref="B8:B9"/>
    <mergeCell ref="B23:B24"/>
    <mergeCell ref="B25:B27"/>
    <mergeCell ref="B33:B35"/>
    <mergeCell ref="B10:C11"/>
    <mergeCell ref="D10:J11"/>
    <mergeCell ref="B12:B14"/>
    <mergeCell ref="D14:J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="110" zoomScaleNormal="110" workbookViewId="0">
      <selection activeCell="F37" sqref="F37"/>
    </sheetView>
  </sheetViews>
  <sheetFormatPr defaultColWidth="11.42578125" defaultRowHeight="15" x14ac:dyDescent="0.25"/>
  <cols>
    <col min="2" max="2" width="21.5703125" customWidth="1"/>
    <col min="3" max="3" width="14.140625" bestFit="1" customWidth="1"/>
    <col min="4" max="4" width="19.140625" customWidth="1"/>
    <col min="5" max="5" width="19.42578125" customWidth="1"/>
    <col min="6" max="6" width="15.85546875" customWidth="1"/>
    <col min="7" max="7" width="19.28515625" customWidth="1"/>
    <col min="8" max="8" width="14.7109375" customWidth="1"/>
    <col min="9" max="9" width="12.85546875" bestFit="1" customWidth="1"/>
  </cols>
  <sheetData>
    <row r="1" spans="1:10" x14ac:dyDescent="0.25">
      <c r="A1" s="105" t="s">
        <v>37</v>
      </c>
      <c r="B1" s="81"/>
      <c r="C1" s="81"/>
      <c r="D1" s="73" t="s">
        <v>38</v>
      </c>
      <c r="E1" s="73" t="s">
        <v>39</v>
      </c>
      <c r="F1" s="3"/>
    </row>
    <row r="2" spans="1:10" x14ac:dyDescent="0.25">
      <c r="A2" s="105"/>
      <c r="B2" s="81" t="s">
        <v>6</v>
      </c>
      <c r="C2" s="81"/>
      <c r="D2" s="1">
        <v>5</v>
      </c>
      <c r="E2" s="1">
        <v>5</v>
      </c>
    </row>
    <row r="3" spans="1:10" x14ac:dyDescent="0.25">
      <c r="A3" s="105"/>
      <c r="B3" s="4" t="s">
        <v>7</v>
      </c>
      <c r="C3" s="5" t="s">
        <v>8</v>
      </c>
      <c r="D3" s="12">
        <v>150</v>
      </c>
      <c r="E3" s="40">
        <v>225</v>
      </c>
    </row>
    <row r="4" spans="1:10" ht="48.75" customHeight="1" x14ac:dyDescent="0.25">
      <c r="A4" s="105"/>
      <c r="B4" s="81" t="s">
        <v>9</v>
      </c>
      <c r="C4" s="81"/>
      <c r="D4" s="6" t="s">
        <v>40</v>
      </c>
      <c r="E4" s="6" t="s">
        <v>40</v>
      </c>
      <c r="G4" s="41" t="s">
        <v>86</v>
      </c>
    </row>
    <row r="5" spans="1:10" ht="17.25" customHeight="1" x14ac:dyDescent="0.25">
      <c r="A5" s="105"/>
      <c r="B5" s="42" t="s">
        <v>41</v>
      </c>
      <c r="C5" s="5" t="s">
        <v>42</v>
      </c>
      <c r="D5" s="43">
        <v>429</v>
      </c>
      <c r="E5" s="44">
        <v>314</v>
      </c>
      <c r="F5" s="41" t="s">
        <v>43</v>
      </c>
    </row>
    <row r="6" spans="1:10" ht="17.25" customHeight="1" x14ac:dyDescent="0.25">
      <c r="A6" s="105"/>
      <c r="B6" s="7" t="s">
        <v>44</v>
      </c>
      <c r="C6" s="9" t="s">
        <v>45</v>
      </c>
      <c r="D6" s="45">
        <v>541575</v>
      </c>
      <c r="E6" s="45">
        <v>741555</v>
      </c>
      <c r="F6" s="41" t="s">
        <v>43</v>
      </c>
    </row>
    <row r="7" spans="1:10" x14ac:dyDescent="0.25">
      <c r="A7" s="105"/>
      <c r="B7" s="92" t="s">
        <v>46</v>
      </c>
      <c r="C7" s="46" t="s">
        <v>17</v>
      </c>
      <c r="D7" s="4">
        <v>400968</v>
      </c>
      <c r="E7" s="47">
        <v>608290</v>
      </c>
    </row>
    <row r="8" spans="1:10" x14ac:dyDescent="0.25">
      <c r="A8" s="105"/>
      <c r="B8" s="93"/>
      <c r="C8" s="48" t="s">
        <v>18</v>
      </c>
      <c r="D8" s="39">
        <v>112875</v>
      </c>
      <c r="E8" s="39">
        <v>98073</v>
      </c>
      <c r="F8" t="s">
        <v>47</v>
      </c>
    </row>
    <row r="9" spans="1:10" ht="15" customHeight="1" x14ac:dyDescent="0.25">
      <c r="A9" s="105"/>
      <c r="B9" s="92" t="s">
        <v>48</v>
      </c>
      <c r="C9" s="46" t="s">
        <v>17</v>
      </c>
      <c r="D9" s="49">
        <f>D7/D3</f>
        <v>2673.12</v>
      </c>
      <c r="E9" s="49">
        <f>E7/E3</f>
        <v>2703.5111111111109</v>
      </c>
      <c r="F9" s="13">
        <f>(D9*D2+E9*E2)/(D2+E2)</f>
        <v>2688.3155555555554</v>
      </c>
      <c r="G9" t="s">
        <v>49</v>
      </c>
      <c r="H9" t="s">
        <v>22</v>
      </c>
      <c r="I9" t="s">
        <v>50</v>
      </c>
    </row>
    <row r="10" spans="1:10" ht="19.5" customHeight="1" x14ac:dyDescent="0.25">
      <c r="A10" s="105"/>
      <c r="B10" s="106"/>
      <c r="C10" s="48" t="s">
        <v>18</v>
      </c>
      <c r="D10" s="49">
        <f>D8/D3</f>
        <v>752.5</v>
      </c>
      <c r="E10" s="49">
        <f>E8/E3</f>
        <v>435.88</v>
      </c>
      <c r="G10">
        <f>((D10^2+D9^2)*D2+(E10^2+E9^2)*E2)-(D2+E2)*F9^2</f>
        <v>3783547.1710864156</v>
      </c>
      <c r="H10" s="14">
        <f>SQRT(G10/(D2+E2))</f>
        <v>615.10545202318076</v>
      </c>
      <c r="I10" s="24">
        <f>H10/F9</f>
        <v>0.2288070129088941</v>
      </c>
    </row>
    <row r="11" spans="1:10" x14ac:dyDescent="0.25">
      <c r="A11" s="105"/>
      <c r="B11" s="93"/>
      <c r="C11" s="22"/>
      <c r="D11" s="90" t="str">
        <f>TEXT(F9,"0")&amp;" ± "&amp;TEXT(H10,"0")</f>
        <v>2688 ± 615</v>
      </c>
      <c r="E11" s="91"/>
    </row>
    <row r="12" spans="1:10" ht="18.75" x14ac:dyDescent="0.35">
      <c r="A12" s="105"/>
      <c r="B12" s="38" t="s">
        <v>51</v>
      </c>
      <c r="C12" s="50" t="s">
        <v>52</v>
      </c>
      <c r="D12" s="51">
        <v>2.1739999999999999</v>
      </c>
      <c r="E12" s="51">
        <v>1.786</v>
      </c>
      <c r="F12" s="41" t="s">
        <v>43</v>
      </c>
    </row>
    <row r="13" spans="1:10" ht="18.75" x14ac:dyDescent="0.35">
      <c r="A13" s="105"/>
      <c r="B13" s="38" t="s">
        <v>53</v>
      </c>
      <c r="C13" s="50" t="s">
        <v>52</v>
      </c>
      <c r="D13" s="4" t="s">
        <v>54</v>
      </c>
      <c r="E13" s="52" t="s">
        <v>55</v>
      </c>
      <c r="F13" t="s">
        <v>47</v>
      </c>
    </row>
    <row r="14" spans="1:10" x14ac:dyDescent="0.25">
      <c r="A14" s="105"/>
      <c r="B14" s="82" t="s">
        <v>23</v>
      </c>
      <c r="C14" s="15" t="s">
        <v>17</v>
      </c>
      <c r="D14" s="53">
        <v>5.3</v>
      </c>
      <c r="E14" s="53">
        <v>4.97</v>
      </c>
      <c r="F14" s="54">
        <f>(D14*D2+E14*E2)/(D2+E2)</f>
        <v>5.1349999999999998</v>
      </c>
      <c r="G14" t="s">
        <v>49</v>
      </c>
      <c r="H14" t="s">
        <v>22</v>
      </c>
      <c r="I14" t="s">
        <v>56</v>
      </c>
      <c r="J14" s="36">
        <f>F14+H15</f>
        <v>6.2870525161640849</v>
      </c>
    </row>
    <row r="15" spans="1:10" x14ac:dyDescent="0.25">
      <c r="A15" s="105"/>
      <c r="B15" s="83"/>
      <c r="C15" s="21" t="s">
        <v>18</v>
      </c>
      <c r="D15" s="53">
        <v>1.4</v>
      </c>
      <c r="E15" s="53">
        <v>0.8</v>
      </c>
      <c r="G15">
        <f>((D15^2+D14^2)*D2+(E15^2+E14^2)*E2)-(D2+E2)*F14^2</f>
        <v>13.272249999999985</v>
      </c>
      <c r="H15" s="36">
        <f>SQRT(G15/(D2+E2))</f>
        <v>1.1520525161640847</v>
      </c>
      <c r="I15" s="24">
        <f>H15/F14</f>
        <v>0.22435297296282078</v>
      </c>
    </row>
    <row r="16" spans="1:10" x14ac:dyDescent="0.25">
      <c r="A16" s="105"/>
      <c r="B16" s="84"/>
      <c r="C16" s="22"/>
      <c r="D16" s="90" t="str">
        <f>TEXT(F14,"0.00")&amp;" ± "&amp;TEXT(H15,"0.00")</f>
        <v>5.14 ± 1.15</v>
      </c>
      <c r="E16" s="91"/>
      <c r="H16" s="14"/>
    </row>
    <row r="17" spans="1:13" x14ac:dyDescent="0.25">
      <c r="A17" t="s">
        <v>25</v>
      </c>
      <c r="B17" s="24">
        <f>1-F14/21</f>
        <v>0.75547619047619052</v>
      </c>
      <c r="C17">
        <f>1-J14/21</f>
        <v>0.70061654684932928</v>
      </c>
    </row>
    <row r="18" spans="1:13" x14ac:dyDescent="0.25">
      <c r="B18" s="24"/>
      <c r="C18" s="55">
        <f>B17-C17</f>
        <v>5.4859643626861243E-2</v>
      </c>
    </row>
    <row r="20" spans="1:13" x14ac:dyDescent="0.25">
      <c r="A20" s="103" t="s">
        <v>26</v>
      </c>
      <c r="B20" s="88"/>
      <c r="C20" s="88"/>
      <c r="D20" s="104" t="s">
        <v>57</v>
      </c>
      <c r="E20" s="104"/>
      <c r="F20" s="98" t="s">
        <v>58</v>
      </c>
      <c r="G20" s="98"/>
      <c r="H20" s="73" t="s">
        <v>59</v>
      </c>
    </row>
    <row r="21" spans="1:13" x14ac:dyDescent="0.25">
      <c r="A21" s="103"/>
      <c r="B21" s="91" t="s">
        <v>6</v>
      </c>
      <c r="C21" s="81"/>
      <c r="D21" s="35">
        <v>24</v>
      </c>
      <c r="E21" s="35">
        <v>24</v>
      </c>
      <c r="F21" s="56">
        <v>3</v>
      </c>
      <c r="G21" s="57">
        <v>6</v>
      </c>
      <c r="H21" s="58">
        <v>12</v>
      </c>
    </row>
    <row r="22" spans="1:13" x14ac:dyDescent="0.25">
      <c r="A22" s="103"/>
      <c r="B22" s="37" t="s">
        <v>7</v>
      </c>
      <c r="C22" s="5" t="s">
        <v>8</v>
      </c>
      <c r="D22" s="39">
        <v>200</v>
      </c>
      <c r="E22" s="59">
        <v>600</v>
      </c>
      <c r="F22" s="8">
        <v>300</v>
      </c>
      <c r="G22" s="4">
        <v>300</v>
      </c>
      <c r="H22" s="2">
        <v>200</v>
      </c>
    </row>
    <row r="23" spans="1:13" x14ac:dyDescent="0.25">
      <c r="A23" s="103"/>
      <c r="B23" s="91" t="s">
        <v>9</v>
      </c>
      <c r="C23" s="81"/>
      <c r="D23" s="1" t="s">
        <v>13</v>
      </c>
      <c r="E23" s="1" t="s">
        <v>13</v>
      </c>
      <c r="F23" s="1" t="s">
        <v>13</v>
      </c>
      <c r="G23" s="1" t="s">
        <v>13</v>
      </c>
      <c r="H23" s="1" t="s">
        <v>13</v>
      </c>
    </row>
    <row r="24" spans="1:13" ht="18" x14ac:dyDescent="0.25">
      <c r="A24" s="103"/>
      <c r="B24" s="1" t="s">
        <v>41</v>
      </c>
      <c r="C24" s="60" t="s">
        <v>42</v>
      </c>
      <c r="D24" s="61" t="s">
        <v>60</v>
      </c>
      <c r="E24" s="61" t="s">
        <v>61</v>
      </c>
      <c r="F24" s="99" t="s">
        <v>62</v>
      </c>
      <c r="G24" s="100"/>
      <c r="H24" s="18">
        <v>444</v>
      </c>
    </row>
    <row r="25" spans="1:13" ht="18" x14ac:dyDescent="0.25">
      <c r="A25" s="103"/>
      <c r="B25" s="1" t="s">
        <v>63</v>
      </c>
      <c r="C25" s="60" t="s">
        <v>42</v>
      </c>
      <c r="D25" s="61" t="s">
        <v>64</v>
      </c>
      <c r="E25" s="61" t="s">
        <v>65</v>
      </c>
      <c r="F25" s="1" t="s">
        <v>66</v>
      </c>
      <c r="G25" s="1" t="s">
        <v>67</v>
      </c>
      <c r="H25" s="1" t="s">
        <v>68</v>
      </c>
    </row>
    <row r="26" spans="1:13" ht="18" x14ac:dyDescent="0.25">
      <c r="A26" s="103"/>
      <c r="B26" s="1" t="s">
        <v>69</v>
      </c>
      <c r="C26" s="60" t="s">
        <v>70</v>
      </c>
      <c r="D26" s="61" t="s">
        <v>71</v>
      </c>
      <c r="E26" s="61" t="s">
        <v>72</v>
      </c>
      <c r="F26" s="1" t="s">
        <v>73</v>
      </c>
      <c r="G26" s="1" t="s">
        <v>74</v>
      </c>
      <c r="H26" s="1" t="s">
        <v>75</v>
      </c>
    </row>
    <row r="27" spans="1:13" ht="18" x14ac:dyDescent="0.25">
      <c r="A27" s="103"/>
      <c r="B27" s="7" t="s">
        <v>44</v>
      </c>
      <c r="C27" s="9" t="s">
        <v>45</v>
      </c>
      <c r="D27" s="101"/>
      <c r="E27" s="102"/>
      <c r="F27" s="99" t="s">
        <v>76</v>
      </c>
      <c r="G27" s="100"/>
      <c r="H27" s="1" t="s">
        <v>77</v>
      </c>
    </row>
    <row r="28" spans="1:13" x14ac:dyDescent="0.25">
      <c r="A28" s="103"/>
      <c r="B28" s="75" t="s">
        <v>78</v>
      </c>
      <c r="C28" s="46" t="s">
        <v>17</v>
      </c>
      <c r="D28" s="61">
        <v>208260</v>
      </c>
      <c r="E28" s="61">
        <v>589860</v>
      </c>
      <c r="F28" s="1">
        <f>60*5152</f>
        <v>309120</v>
      </c>
      <c r="G28" s="1">
        <f>60*5858</f>
        <v>351480</v>
      </c>
      <c r="H28" s="62">
        <v>333166.58</v>
      </c>
    </row>
    <row r="29" spans="1:13" x14ac:dyDescent="0.25">
      <c r="A29" s="103"/>
      <c r="B29" s="94"/>
      <c r="C29" s="48" t="s">
        <v>18</v>
      </c>
      <c r="D29" s="39">
        <v>61740</v>
      </c>
      <c r="E29" s="39">
        <v>142140</v>
      </c>
      <c r="F29" s="39">
        <f>60*1028</f>
        <v>61680</v>
      </c>
      <c r="G29" s="39">
        <f>60*2126</f>
        <v>127560</v>
      </c>
      <c r="H29" s="63">
        <v>11655</v>
      </c>
    </row>
    <row r="30" spans="1:13" x14ac:dyDescent="0.25">
      <c r="A30" s="103"/>
      <c r="B30" s="75" t="s">
        <v>20</v>
      </c>
      <c r="C30" s="46" t="s">
        <v>17</v>
      </c>
      <c r="D30" s="49">
        <f>D28/D22</f>
        <v>1041.3</v>
      </c>
      <c r="E30" s="49">
        <f t="shared" ref="E30:H30" si="0">E28/E22</f>
        <v>983.1</v>
      </c>
      <c r="F30" s="49">
        <f t="shared" si="0"/>
        <v>1030.4000000000001</v>
      </c>
      <c r="G30" s="49">
        <f t="shared" si="0"/>
        <v>1171.5999999999999</v>
      </c>
      <c r="H30" s="49">
        <f t="shared" si="0"/>
        <v>1665.8329000000001</v>
      </c>
      <c r="M30" s="20"/>
    </row>
    <row r="31" spans="1:13" x14ac:dyDescent="0.25">
      <c r="A31" s="103"/>
      <c r="B31" s="94"/>
      <c r="C31" s="48" t="s">
        <v>18</v>
      </c>
      <c r="D31" s="49">
        <f>D29/D22</f>
        <v>308.7</v>
      </c>
      <c r="E31" s="49">
        <f t="shared" ref="E31:H31" si="1">E29/E22</f>
        <v>236.9</v>
      </c>
      <c r="F31" s="49">
        <f t="shared" si="1"/>
        <v>205.6</v>
      </c>
      <c r="G31" s="49">
        <f t="shared" si="1"/>
        <v>425.2</v>
      </c>
      <c r="H31" s="49">
        <f t="shared" si="1"/>
        <v>58.274999999999999</v>
      </c>
    </row>
    <row r="32" spans="1:13" x14ac:dyDescent="0.25">
      <c r="A32" s="103"/>
      <c r="B32" s="95" t="s">
        <v>79</v>
      </c>
      <c r="C32" s="64" t="s">
        <v>17</v>
      </c>
      <c r="D32" s="65">
        <f>D30/$F$9</f>
        <v>0.38734292105258805</v>
      </c>
      <c r="E32" s="65">
        <f>E30/$F$9</f>
        <v>0.36569367683357279</v>
      </c>
      <c r="F32" s="65">
        <f>F30/$F$9</f>
        <v>0.383288337513288</v>
      </c>
      <c r="G32" s="65">
        <f>G30/$F$9</f>
        <v>0.43581193345357933</v>
      </c>
      <c r="H32" s="65">
        <f>H30/$F$9</f>
        <v>0.61965675739124548</v>
      </c>
    </row>
    <row r="33" spans="1:8" x14ac:dyDescent="0.25">
      <c r="A33" s="103"/>
      <c r="B33" s="96"/>
      <c r="C33" s="66" t="s">
        <v>18</v>
      </c>
      <c r="D33" s="65">
        <f>D32*SQRT(($H$10/$F$9)^2+(D31/D30)^2)</f>
        <v>0.14505411531581924</v>
      </c>
      <c r="E33" s="65">
        <f>E32*SQRT(($H$10/$F$9)^2+(E31/E30)^2)</f>
        <v>0.12151839832389663</v>
      </c>
      <c r="F33" s="65">
        <f>F32*SQRT(($H$10/$F$9)^2+(F31/F30)^2)</f>
        <v>0.1163622808098449</v>
      </c>
      <c r="G33" s="65">
        <f>G32*SQRT(($H$10/$F$9)^2+(G31/G30)^2)</f>
        <v>0.18697570744897971</v>
      </c>
      <c r="H33" s="65">
        <f>H32*SQRT(($H$10/$F$9)^2+(H31/H30)^2)</f>
        <v>0.143429357672375</v>
      </c>
    </row>
    <row r="34" spans="1:8" x14ac:dyDescent="0.25">
      <c r="A34" s="103"/>
      <c r="B34" s="97"/>
      <c r="C34" s="67" t="s">
        <v>30</v>
      </c>
      <c r="D34" s="35" t="str">
        <f>TEXT(D32*100,"0.00")&amp;" ± "&amp;TEXT(D33*100,"0.00")</f>
        <v>38.73 ± 14.51</v>
      </c>
      <c r="E34" s="59" t="str">
        <f>TEXT(E32*100,"0.00")&amp;" ± "&amp;TEXT(E33*100,"0.00")</f>
        <v>36.57 ± 12.15</v>
      </c>
      <c r="F34" s="35" t="str">
        <f t="shared" ref="F34:H34" si="2">TEXT(F32*100,"0.00")&amp;" ± "&amp;TEXT(F33*100,"0.00")</f>
        <v>38.33 ± 11.64</v>
      </c>
      <c r="G34" s="35" t="str">
        <f t="shared" si="2"/>
        <v>43.58 ± 18.70</v>
      </c>
      <c r="H34" s="35" t="str">
        <f t="shared" si="2"/>
        <v>61.97 ± 14.34</v>
      </c>
    </row>
    <row r="35" spans="1:8" x14ac:dyDescent="0.25">
      <c r="A35" s="103"/>
    </row>
    <row r="36" spans="1:8" x14ac:dyDescent="0.25">
      <c r="A36" s="103"/>
      <c r="C36" s="68" t="s">
        <v>80</v>
      </c>
      <c r="D36" s="59">
        <v>300</v>
      </c>
    </row>
    <row r="37" spans="1:8" x14ac:dyDescent="0.25">
      <c r="A37" s="103"/>
      <c r="B37" s="27" t="s">
        <v>19</v>
      </c>
      <c r="C37" s="69">
        <f>(D32*D21+H32*H21)/(D21+H21)</f>
        <v>0.46478086649880723</v>
      </c>
      <c r="D37" s="69">
        <f>(F32*F21+G32*G21)/(F21+G21)</f>
        <v>0.41830406814014887</v>
      </c>
    </row>
    <row r="38" spans="1:8" x14ac:dyDescent="0.25">
      <c r="A38" s="103"/>
      <c r="B38" s="27" t="s">
        <v>21</v>
      </c>
      <c r="C38" s="32">
        <f>((D32^2+D33^2)*D21+(H33^2+H32^2)*H21)-(D21+H21)*C37^2</f>
        <v>1.1835982290241152</v>
      </c>
      <c r="D38" s="32">
        <f>((F32^2+F33^2)*F21+(G33^2+G32^2)*G21)-(F21+G21)*D37^2</f>
        <v>0.25589748850308447</v>
      </c>
    </row>
    <row r="39" spans="1:8" x14ac:dyDescent="0.25">
      <c r="A39" s="103"/>
      <c r="B39" s="27" t="s">
        <v>22</v>
      </c>
      <c r="C39" s="34">
        <f>SQRT(C38/(D21+H21))</f>
        <v>0.18132216793322101</v>
      </c>
      <c r="D39" s="34">
        <f>SQRT(D38/(F21+G21))</f>
        <v>0.16862103747196105</v>
      </c>
    </row>
    <row r="40" spans="1:8" x14ac:dyDescent="0.25">
      <c r="A40" s="103"/>
      <c r="B40" s="70" t="s">
        <v>81</v>
      </c>
      <c r="C40" s="68" t="str">
        <f>TEXT(C37*100,"0.00")&amp;" ± "&amp;TEXT(C39*100,"0.00")</f>
        <v>46.48 ± 18.13</v>
      </c>
      <c r="D40" s="68" t="str">
        <f>TEXT(D37*100,"0.00")&amp;" ± "&amp;TEXT(D39*100,"0.00")</f>
        <v>41.83 ± 16.86</v>
      </c>
    </row>
    <row r="41" spans="1:8" x14ac:dyDescent="0.25">
      <c r="B41" s="71" t="s">
        <v>82</v>
      </c>
      <c r="C41">
        <f>37300/1125</f>
        <v>33.155555555555559</v>
      </c>
      <c r="D41">
        <f>38900/1250</f>
        <v>31.12</v>
      </c>
      <c r="E41">
        <f>23700/983</f>
        <v>24.109867751780264</v>
      </c>
    </row>
    <row r="46" spans="1:8" x14ac:dyDescent="0.25">
      <c r="D46" s="32" t="s">
        <v>83</v>
      </c>
      <c r="E46" s="32" t="s">
        <v>84</v>
      </c>
      <c r="F46" s="32" t="s">
        <v>85</v>
      </c>
    </row>
    <row r="47" spans="1:8" x14ac:dyDescent="0.25">
      <c r="B47" s="79" t="s">
        <v>35</v>
      </c>
      <c r="C47" s="32" t="s">
        <v>17</v>
      </c>
      <c r="D47" s="72">
        <f>C37/(1-$F$14/21)</f>
        <v>0.61521577034194463</v>
      </c>
      <c r="E47" s="72">
        <f>D37/(1-$F$14/21)</f>
        <v>0.5536958985781989</v>
      </c>
      <c r="F47" s="72">
        <f>E32/(1-$F$14/21)</f>
        <v>0.48405718332839759</v>
      </c>
    </row>
    <row r="48" spans="1:8" x14ac:dyDescent="0.25">
      <c r="B48" s="79"/>
      <c r="C48" s="32" t="s">
        <v>18</v>
      </c>
      <c r="D48" s="72">
        <f>D47*SQRT(($H$15/$F$14)^2+(C39/C37)^2)</f>
        <v>0.27686827779400885</v>
      </c>
      <c r="E48" s="72">
        <f>E47*SQRT(($H$15/$F$14)^2+(D39/D37)^2)</f>
        <v>0.25543871262101076</v>
      </c>
      <c r="F48" s="72">
        <f>F47*SQRT(($H$15/$F$14)^2+(E33/E32)^2)</f>
        <v>0.19407893505090684</v>
      </c>
    </row>
    <row r="49" spans="2:6" x14ac:dyDescent="0.25">
      <c r="B49" s="79"/>
      <c r="C49" s="32" t="s">
        <v>36</v>
      </c>
      <c r="D49" s="35" t="str">
        <f>TEXT(D47*100,"0.00")&amp;" ± "&amp;TEXT(D48*100,"0.00")</f>
        <v>61.52 ± 27.69</v>
      </c>
      <c r="E49" s="35" t="str">
        <f t="shared" ref="E49:F49" si="3">TEXT(E47*100,"0.00")&amp;" ± "&amp;TEXT(E48*100,"0.00")</f>
        <v>55.37 ± 25.54</v>
      </c>
      <c r="F49" s="35" t="str">
        <f t="shared" si="3"/>
        <v>48.41 ± 19.41</v>
      </c>
    </row>
  </sheetData>
  <mergeCells count="22">
    <mergeCell ref="D11:E11"/>
    <mergeCell ref="B14:B16"/>
    <mergeCell ref="D16:E16"/>
    <mergeCell ref="A20:A40"/>
    <mergeCell ref="B20:C20"/>
    <mergeCell ref="D20:E20"/>
    <mergeCell ref="B28:B29"/>
    <mergeCell ref="A1:A16"/>
    <mergeCell ref="B1:C1"/>
    <mergeCell ref="B2:C2"/>
    <mergeCell ref="B4:C4"/>
    <mergeCell ref="B7:B8"/>
    <mergeCell ref="B9:B11"/>
    <mergeCell ref="B30:B31"/>
    <mergeCell ref="B32:B34"/>
    <mergeCell ref="B47:B49"/>
    <mergeCell ref="F20:G20"/>
    <mergeCell ref="B21:C21"/>
    <mergeCell ref="B23:C23"/>
    <mergeCell ref="F24:G24"/>
    <mergeCell ref="D27:E27"/>
    <mergeCell ref="F27:G2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30"/>
  <sheetViews>
    <sheetView tabSelected="1" zoomScaleNormal="100" workbookViewId="0">
      <selection activeCell="C17" sqref="C17"/>
    </sheetView>
  </sheetViews>
  <sheetFormatPr defaultRowHeight="15" x14ac:dyDescent="0.25"/>
  <cols>
    <col min="2" max="2" width="16.7109375" bestFit="1" customWidth="1"/>
    <col min="3" max="3" width="17.42578125" customWidth="1"/>
    <col min="4" max="4" width="22" customWidth="1"/>
    <col min="5" max="5" width="21.85546875" customWidth="1"/>
    <col min="6" max="7" width="13.7109375" customWidth="1"/>
    <col min="8" max="8" width="16.42578125" customWidth="1"/>
    <col min="9" max="9" width="12" bestFit="1" customWidth="1"/>
  </cols>
  <sheetData>
    <row r="2" spans="2:11" ht="30.75" customHeight="1" thickBot="1" x14ac:dyDescent="0.3">
      <c r="H2" s="107" t="s">
        <v>87</v>
      </c>
      <c r="I2" s="107"/>
      <c r="J2" s="108" t="s">
        <v>88</v>
      </c>
      <c r="K2" s="108"/>
    </row>
    <row r="3" spans="2:11" ht="15.75" thickBot="1" x14ac:dyDescent="0.3">
      <c r="B3" s="109" t="s">
        <v>89</v>
      </c>
      <c r="C3" s="110" t="s">
        <v>90</v>
      </c>
      <c r="D3" s="110" t="s">
        <v>91</v>
      </c>
      <c r="E3" s="110" t="s">
        <v>92</v>
      </c>
      <c r="F3" s="110" t="s">
        <v>93</v>
      </c>
      <c r="G3" s="110" t="s">
        <v>94</v>
      </c>
      <c r="H3" s="110" t="s">
        <v>17</v>
      </c>
      <c r="I3" s="111" t="s">
        <v>18</v>
      </c>
      <c r="J3" s="111" t="s">
        <v>17</v>
      </c>
      <c r="K3" s="111" t="s">
        <v>95</v>
      </c>
    </row>
    <row r="4" spans="2:11" ht="15.75" thickBot="1" x14ac:dyDescent="0.3">
      <c r="B4" s="112" t="s">
        <v>0</v>
      </c>
      <c r="C4" s="113" t="s">
        <v>96</v>
      </c>
      <c r="D4" s="113" t="s">
        <v>97</v>
      </c>
      <c r="E4" s="113" t="s">
        <v>98</v>
      </c>
      <c r="F4" s="113" t="s">
        <v>99</v>
      </c>
      <c r="G4">
        <v>4</v>
      </c>
      <c r="H4">
        <f>1624/(4*1000000)</f>
        <v>4.06E-4</v>
      </c>
      <c r="I4">
        <f>334/(4*1000000)*SQRT(5)</f>
        <v>1.8671167612123243E-4</v>
      </c>
    </row>
    <row r="5" spans="2:11" ht="15.75" thickBot="1" x14ac:dyDescent="0.3">
      <c r="B5" s="114"/>
      <c r="C5" s="115"/>
      <c r="D5" s="115"/>
      <c r="E5" s="115"/>
      <c r="F5" s="115"/>
    </row>
    <row r="6" spans="2:11" ht="15.75" thickBot="1" x14ac:dyDescent="0.3">
      <c r="B6" s="112" t="s">
        <v>100</v>
      </c>
      <c r="C6" s="116" t="s">
        <v>90</v>
      </c>
      <c r="D6" s="116" t="s">
        <v>101</v>
      </c>
      <c r="E6" s="116" t="s">
        <v>102</v>
      </c>
      <c r="F6" s="116" t="s">
        <v>93</v>
      </c>
    </row>
    <row r="7" spans="2:11" ht="15.75" thickBot="1" x14ac:dyDescent="0.3">
      <c r="B7" s="112" t="s">
        <v>103</v>
      </c>
      <c r="C7" s="113" t="s">
        <v>104</v>
      </c>
      <c r="D7" s="113">
        <v>2</v>
      </c>
      <c r="E7" s="113" t="s">
        <v>105</v>
      </c>
      <c r="F7" s="113" t="s">
        <v>106</v>
      </c>
      <c r="G7">
        <v>12</v>
      </c>
      <c r="H7">
        <f>414/(12*1000000)</f>
        <v>3.4499999999999998E-5</v>
      </c>
      <c r="I7">
        <f>130/(12*1000000)*SQRT(6)</f>
        <v>2.6536138880151094E-5</v>
      </c>
      <c r="J7" s="117">
        <f>H7/H4</f>
        <v>8.4975369458128072E-2</v>
      </c>
      <c r="K7" s="117">
        <f>J7*SQRT((I4/H4)^2+(I7/H7)^2)</f>
        <v>7.6151535273793647E-2</v>
      </c>
    </row>
    <row r="8" spans="2:11" ht="16.5" thickBot="1" x14ac:dyDescent="0.3">
      <c r="B8" s="112" t="s">
        <v>107</v>
      </c>
      <c r="C8" s="118" t="s">
        <v>108</v>
      </c>
      <c r="D8" s="118">
        <v>3</v>
      </c>
      <c r="E8" s="118" t="s">
        <v>109</v>
      </c>
      <c r="F8" s="118" t="s">
        <v>110</v>
      </c>
      <c r="H8">
        <f>1050/(12*1000000)</f>
        <v>8.7499999999999999E-5</v>
      </c>
      <c r="I8">
        <f>169/(12*1000000)*SQRT(5)</f>
        <v>3.1491290683122037E-5</v>
      </c>
      <c r="J8" s="117">
        <f>H8/H4</f>
        <v>0.21551724137931033</v>
      </c>
      <c r="K8" s="117">
        <f>J8*SQRT((I4/H4)^2+(I8/H8)^2)</f>
        <v>0.12585521511891296</v>
      </c>
    </row>
    <row r="13" spans="2:11" ht="15.75" thickBot="1" x14ac:dyDescent="0.3"/>
    <row r="14" spans="2:11" ht="15.75" thickTop="1" x14ac:dyDescent="0.25">
      <c r="B14" s="119" t="s">
        <v>111</v>
      </c>
      <c r="C14" s="120" t="s">
        <v>112</v>
      </c>
      <c r="D14" s="121" t="s">
        <v>113</v>
      </c>
      <c r="E14" s="122" t="s">
        <v>114</v>
      </c>
      <c r="F14" s="121" t="s">
        <v>115</v>
      </c>
      <c r="G14" s="122" t="s">
        <v>116</v>
      </c>
      <c r="H14" s="122" t="s">
        <v>117</v>
      </c>
      <c r="I14" s="122" t="s">
        <v>88</v>
      </c>
      <c r="J14" s="123" t="s">
        <v>118</v>
      </c>
    </row>
    <row r="15" spans="2:11" ht="15.75" thickBot="1" x14ac:dyDescent="0.3">
      <c r="B15" s="124"/>
      <c r="C15" s="125" t="s">
        <v>119</v>
      </c>
      <c r="D15" s="126" t="s">
        <v>120</v>
      </c>
      <c r="E15" s="126" t="s">
        <v>121</v>
      </c>
      <c r="F15" s="126" t="s">
        <v>122</v>
      </c>
      <c r="G15" s="126" t="s">
        <v>123</v>
      </c>
      <c r="H15" s="126" t="s">
        <v>122</v>
      </c>
      <c r="I15" s="126" t="s">
        <v>124</v>
      </c>
      <c r="J15" s="127"/>
    </row>
    <row r="16" spans="2:11" x14ac:dyDescent="0.25">
      <c r="B16" s="128" t="s">
        <v>125</v>
      </c>
      <c r="C16" s="113" t="s">
        <v>96</v>
      </c>
      <c r="D16" s="113" t="s">
        <v>97</v>
      </c>
      <c r="E16" s="113" t="s">
        <v>98</v>
      </c>
      <c r="F16" s="113" t="s">
        <v>99</v>
      </c>
      <c r="G16" s="113" t="s">
        <v>126</v>
      </c>
      <c r="H16" s="113" t="s">
        <v>126</v>
      </c>
      <c r="I16" s="113" t="s">
        <v>126</v>
      </c>
      <c r="J16" s="113">
        <v>5</v>
      </c>
    </row>
    <row r="17" spans="2:10" ht="35.25" customHeight="1" x14ac:dyDescent="0.25">
      <c r="B17" s="128" t="s">
        <v>127</v>
      </c>
      <c r="C17" s="113" t="s">
        <v>104</v>
      </c>
      <c r="D17" s="113" t="s">
        <v>126</v>
      </c>
      <c r="E17" s="113" t="s">
        <v>126</v>
      </c>
      <c r="F17" s="113" t="s">
        <v>106</v>
      </c>
      <c r="G17" s="113" t="s">
        <v>105</v>
      </c>
      <c r="H17" s="113">
        <v>2</v>
      </c>
      <c r="I17" s="113" t="s">
        <v>128</v>
      </c>
      <c r="J17" s="113">
        <v>6</v>
      </c>
    </row>
    <row r="18" spans="2:10" ht="16.5" thickBot="1" x14ac:dyDescent="0.3">
      <c r="B18" s="129" t="s">
        <v>129</v>
      </c>
      <c r="C18" s="118" t="s">
        <v>108</v>
      </c>
      <c r="D18" s="118" t="s">
        <v>126</v>
      </c>
      <c r="E18" s="118" t="s">
        <v>126</v>
      </c>
      <c r="F18" s="118" t="s">
        <v>110</v>
      </c>
      <c r="G18" s="118" t="s">
        <v>109</v>
      </c>
      <c r="H18" s="118">
        <v>3</v>
      </c>
      <c r="I18" s="118" t="s">
        <v>130</v>
      </c>
      <c r="J18" s="118">
        <v>5</v>
      </c>
    </row>
    <row r="19" spans="2:10" ht="15.75" thickTop="1" x14ac:dyDescent="0.25">
      <c r="B19" s="130" t="s">
        <v>131</v>
      </c>
      <c r="C19" s="130"/>
      <c r="D19" s="130"/>
      <c r="E19" s="130"/>
      <c r="F19" s="130"/>
      <c r="G19" s="130"/>
      <c r="H19" s="130"/>
      <c r="I19" s="130"/>
      <c r="J19" s="130"/>
    </row>
    <row r="20" spans="2:10" x14ac:dyDescent="0.25">
      <c r="B20" s="131" t="s">
        <v>132</v>
      </c>
      <c r="C20" s="131"/>
      <c r="D20" s="131"/>
      <c r="E20" s="131"/>
      <c r="F20" s="131"/>
      <c r="G20" s="131"/>
      <c r="H20" s="131"/>
      <c r="I20" s="131"/>
      <c r="J20" s="131"/>
    </row>
    <row r="29" spans="2:10" x14ac:dyDescent="0.25">
      <c r="D29" s="20">
        <f>2671/60</f>
        <v>44.516666666666666</v>
      </c>
      <c r="E29" s="20">
        <f>D29*679.6/2671</f>
        <v>11.326666666666668</v>
      </c>
    </row>
    <row r="30" spans="2:10" x14ac:dyDescent="0.25">
      <c r="E30">
        <f>E29*SQRT(5)</f>
        <v>25.327196625147621</v>
      </c>
    </row>
  </sheetData>
  <mergeCells count="6">
    <mergeCell ref="H2:I2"/>
    <mergeCell ref="J2:K2"/>
    <mergeCell ref="B14:B15"/>
    <mergeCell ref="J14:J15"/>
    <mergeCell ref="B19:J19"/>
    <mergeCell ref="B20:J2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rism6.Document" shapeId="3073" r:id="rId4">
          <objectPr defaultSize="0" autoPict="0" r:id="rId5">
            <anchor moveWithCells="1" sizeWithCells="1">
              <from>
                <xdr:col>6</xdr:col>
                <xdr:colOff>600075</xdr:colOff>
                <xdr:row>18</xdr:row>
                <xdr:rowOff>66675</xdr:rowOff>
              </from>
              <to>
                <xdr:col>14</xdr:col>
                <xdr:colOff>428625</xdr:colOff>
                <xdr:row>36</xdr:row>
                <xdr:rowOff>28575</xdr:rowOff>
              </to>
            </anchor>
          </objectPr>
        </oleObject>
      </mc:Choice>
      <mc:Fallback>
        <oleObject progId="Prism6.Document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</vt:lpstr>
      <vt:lpstr>CsA</vt:lpstr>
      <vt:lpstr>THC Rat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2016-07-15T11:05:09Z</dcterms:modified>
</cp:coreProperties>
</file>