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fnottm-my.sharepoint.com/personal/jordan_potts2_nottingham_ac_uk/Documents/"/>
    </mc:Choice>
  </mc:AlternateContent>
  <xr:revisionPtr revIDLastSave="92" documentId="8_{91535D56-80D1-B04E-A3C1-D338B82EE0C4}" xr6:coauthVersionLast="47" xr6:coauthVersionMax="47" xr10:uidLastSave="{D2548497-1E6A-49DD-BF1E-27867E939A4E}"/>
  <bookViews>
    <workbookView xWindow="17920" yWindow="500" windowWidth="17920" windowHeight="20660" firstSheet="6" activeTab="6" xr2:uid="{43367EF7-17DD-F149-BD52-268FCFABAC03}"/>
  </bookViews>
  <sheets>
    <sheet name="Oxidation" sheetId="1" r:id="rId1"/>
    <sheet name="Reduction" sheetId="2" r:id="rId2"/>
    <sheet name="E half" sheetId="3" r:id="rId3"/>
    <sheet name="Log Ep-E0" sheetId="4" r:id="rId4"/>
    <sheet name="Alpha" sheetId="5" r:id="rId5"/>
    <sheet name="PSI" sheetId="7" r:id="rId6"/>
    <sheet name="PSI graph" sheetId="8" r:id="rId7"/>
    <sheet name="Oxidation current function" sheetId="9" r:id="rId8"/>
    <sheet name="Reduction current function" sheetId="10" r:id="rId9"/>
    <sheet name="psi_x0009__x0009__x0009__x0009__x0009__x0009__x0009__x0009__x000a__x0009__x0009__x0009__x0009__x0009__x0009__x0009__x0009__x000a__x0009__x0009__x0009__x0009__x0009__x0009__x0009__x0009__x000a__x0009_" sheetId="6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8" i="8" l="1"/>
  <c r="C13" i="2"/>
  <c r="O55" i="8" l="1"/>
  <c r="P55" i="8" s="1"/>
  <c r="Q55" i="8" s="1"/>
  <c r="O54" i="8"/>
  <c r="P54" i="8" s="1"/>
  <c r="Q54" i="8" s="1"/>
  <c r="O53" i="8"/>
  <c r="P53" i="8" s="1"/>
  <c r="Q53" i="8" s="1"/>
  <c r="O50" i="8"/>
  <c r="P50" i="8" s="1"/>
  <c r="Q50" i="8" s="1"/>
  <c r="O49" i="8"/>
  <c r="P49" i="8" s="1"/>
  <c r="Q49" i="8" s="1"/>
  <c r="O48" i="8"/>
  <c r="P48" i="8" s="1"/>
  <c r="Q48" i="8" s="1"/>
  <c r="O47" i="8"/>
  <c r="P47" i="8" s="1"/>
  <c r="Q47" i="8" s="1"/>
  <c r="O46" i="8"/>
  <c r="P46" i="8" s="1"/>
  <c r="Q46" i="8" s="1"/>
  <c r="O36" i="8"/>
  <c r="P36" i="8" s="1"/>
  <c r="Q36" i="8" s="1"/>
  <c r="O35" i="8"/>
  <c r="P35" i="8" s="1"/>
  <c r="Q35" i="8" s="1"/>
  <c r="O34" i="8"/>
  <c r="P34" i="8" s="1"/>
  <c r="Q34" i="8" s="1"/>
  <c r="O31" i="8"/>
  <c r="P31" i="8" s="1"/>
  <c r="Q31" i="8" s="1"/>
  <c r="O30" i="8"/>
  <c r="P30" i="8" s="1"/>
  <c r="Q30" i="8" s="1"/>
  <c r="O29" i="8"/>
  <c r="P29" i="8" s="1"/>
  <c r="Q29" i="8" s="1"/>
  <c r="O28" i="8"/>
  <c r="P28" i="8" s="1"/>
  <c r="Q28" i="8" s="1"/>
  <c r="O27" i="8"/>
  <c r="P27" i="8" s="1"/>
  <c r="Q27" i="8" s="1"/>
  <c r="K13" i="7"/>
  <c r="K14" i="7"/>
  <c r="K15" i="7"/>
  <c r="K16" i="7"/>
  <c r="K19" i="7"/>
  <c r="K20" i="7"/>
  <c r="K21" i="7"/>
  <c r="K22" i="7"/>
  <c r="J21" i="7"/>
  <c r="J22" i="7"/>
  <c r="J13" i="7"/>
  <c r="J14" i="7"/>
  <c r="J15" i="7"/>
  <c r="J16" i="7"/>
  <c r="J19" i="7"/>
  <c r="J20" i="7"/>
  <c r="F35" i="4"/>
  <c r="F36" i="4"/>
  <c r="F37" i="4"/>
  <c r="F41" i="4"/>
  <c r="F42" i="4"/>
  <c r="F43" i="4"/>
  <c r="H15" i="3"/>
  <c r="I15" i="3" s="1"/>
  <c r="G42" i="4" s="1"/>
  <c r="H16" i="3"/>
  <c r="I16" i="3" s="1"/>
  <c r="G43" i="4" s="1"/>
  <c r="H14" i="3"/>
  <c r="I14" i="3" s="1"/>
  <c r="G41" i="4" s="1"/>
  <c r="C15" i="3"/>
  <c r="D15" i="3" s="1"/>
  <c r="C42" i="4" s="1"/>
  <c r="C16" i="3"/>
  <c r="D16" i="3" s="1"/>
  <c r="C43" i="4" s="1"/>
  <c r="C14" i="3"/>
  <c r="D14" i="3" s="1"/>
  <c r="C41" i="4" s="1"/>
  <c r="B35" i="4"/>
  <c r="B36" i="4"/>
  <c r="B37" i="4"/>
  <c r="B41" i="4"/>
  <c r="B42" i="4"/>
  <c r="B43" i="4"/>
  <c r="C14" i="2"/>
  <c r="C15" i="2"/>
  <c r="K8" i="3"/>
  <c r="C13" i="1"/>
  <c r="C14" i="1"/>
  <c r="C15" i="1"/>
  <c r="K10" i="3"/>
  <c r="H10" i="3"/>
  <c r="I10" i="3" s="1"/>
  <c r="G37" i="4" s="1"/>
  <c r="C10" i="3"/>
  <c r="D10" i="3" s="1"/>
  <c r="C37" i="4" s="1"/>
  <c r="K9" i="3"/>
  <c r="H9" i="3"/>
  <c r="I9" i="3" s="1"/>
  <c r="G36" i="4" s="1"/>
  <c r="C9" i="3"/>
  <c r="D9" i="3" s="1"/>
  <c r="C36" i="4" s="1"/>
  <c r="H8" i="3"/>
  <c r="I8" i="3" s="1"/>
  <c r="G35" i="4" s="1"/>
  <c r="C8" i="3"/>
  <c r="D8" i="3" s="1"/>
  <c r="C35" i="4" s="1"/>
  <c r="C10" i="2"/>
  <c r="C9" i="2"/>
  <c r="C8" i="2"/>
  <c r="C4" i="2"/>
  <c r="C3" i="2"/>
  <c r="C2" i="2"/>
  <c r="C10" i="1"/>
  <c r="C9" i="1"/>
  <c r="C8" i="1"/>
  <c r="C4" i="1"/>
  <c r="D37" i="4" l="1"/>
  <c r="L14" i="7"/>
  <c r="M14" i="7" s="1"/>
  <c r="N14" i="7" s="1"/>
  <c r="S34" i="8" s="1"/>
  <c r="H36" i="4"/>
  <c r="H37" i="4"/>
  <c r="H35" i="4"/>
  <c r="L21" i="7"/>
  <c r="M21" i="7" s="1"/>
  <c r="N21" i="7" s="1"/>
  <c r="S54" i="8" s="1"/>
  <c r="D36" i="4"/>
  <c r="L15" i="7"/>
  <c r="M15" i="7" s="1"/>
  <c r="N15" i="7" s="1"/>
  <c r="L22" i="7"/>
  <c r="M22" i="7" s="1"/>
  <c r="N22" i="7" s="1"/>
  <c r="S55" i="8" s="1"/>
  <c r="H43" i="4"/>
  <c r="H42" i="4"/>
  <c r="H41" i="4"/>
  <c r="L20" i="7"/>
  <c r="M20" i="7" s="1"/>
  <c r="N20" i="7" s="1"/>
  <c r="S53" i="8" s="1"/>
  <c r="L16" i="7"/>
  <c r="M16" i="7" s="1"/>
  <c r="N16" i="7" s="1"/>
  <c r="D41" i="4"/>
  <c r="D43" i="4"/>
  <c r="D42" i="4"/>
  <c r="D35" i="4"/>
  <c r="C3" i="1"/>
  <c r="C2" i="1"/>
  <c r="K9" i="7"/>
  <c r="K10" i="7"/>
  <c r="K8" i="7"/>
  <c r="J9" i="7"/>
  <c r="J10" i="7"/>
  <c r="J8" i="7"/>
  <c r="F30" i="4"/>
  <c r="F31" i="4"/>
  <c r="F29" i="4"/>
  <c r="B30" i="4"/>
  <c r="B31" i="4"/>
  <c r="B29" i="4"/>
  <c r="K3" i="3"/>
  <c r="K4" i="3"/>
  <c r="K2" i="3"/>
  <c r="S27" i="8" l="1"/>
  <c r="S48" i="8"/>
  <c r="S47" i="8"/>
  <c r="S35" i="8"/>
  <c r="S28" i="8"/>
  <c r="S36" i="8"/>
  <c r="S29" i="8"/>
  <c r="S46" i="8"/>
  <c r="T53" i="8"/>
  <c r="O15" i="8"/>
  <c r="O16" i="8"/>
  <c r="O17" i="8"/>
  <c r="Q75" i="8"/>
  <c r="N77" i="8" s="1"/>
  <c r="N79" i="8" s="1"/>
  <c r="N81" i="8" s="1"/>
  <c r="N83" i="8" s="1"/>
  <c r="L75" i="8"/>
  <c r="Q65" i="8"/>
  <c r="N66" i="8" s="1"/>
  <c r="N68" i="8" s="1"/>
  <c r="N70" i="8" s="1"/>
  <c r="N72" i="8" s="1"/>
  <c r="L65" i="8"/>
  <c r="L8" i="7"/>
  <c r="M8" i="7" s="1"/>
  <c r="N8" i="7" s="1"/>
  <c r="L9" i="7"/>
  <c r="M9" i="7" s="1"/>
  <c r="N9" i="7" s="1"/>
  <c r="L10" i="7"/>
  <c r="M10" i="7" s="1"/>
  <c r="N10" i="7" s="1"/>
  <c r="C3" i="3"/>
  <c r="C4" i="3"/>
  <c r="D4" i="3" s="1"/>
  <c r="C31" i="4" s="1"/>
  <c r="H3" i="3"/>
  <c r="T46" i="8" l="1"/>
  <c r="T27" i="8"/>
  <c r="T34" i="8"/>
  <c r="N57" i="8"/>
  <c r="N59" i="8" s="1"/>
  <c r="C4" i="4"/>
  <c r="D23" i="5"/>
  <c r="B26" i="5"/>
  <c r="D3" i="3"/>
  <c r="C30" i="4" s="1"/>
  <c r="C2" i="3"/>
  <c r="D2" i="3" s="1"/>
  <c r="C29" i="4" s="1"/>
  <c r="D29" i="4" s="1"/>
  <c r="C8" i="4"/>
  <c r="D8" i="4" s="1"/>
  <c r="C9" i="4"/>
  <c r="D9" i="4" s="1"/>
  <c r="C10" i="4"/>
  <c r="D10" i="4" s="1"/>
  <c r="C11" i="4"/>
  <c r="D11" i="4" s="1"/>
  <c r="C12" i="4"/>
  <c r="D12" i="4" s="1"/>
  <c r="C13" i="4"/>
  <c r="D13" i="4" s="1"/>
  <c r="C14" i="4"/>
  <c r="D14" i="4" s="1"/>
  <c r="C15" i="4"/>
  <c r="D15" i="4" s="1"/>
  <c r="C16" i="4"/>
  <c r="D16" i="4" s="1"/>
  <c r="C17" i="4"/>
  <c r="D17" i="4" s="1"/>
  <c r="C21" i="4"/>
  <c r="D21" i="4" s="1"/>
  <c r="H2" i="3"/>
  <c r="I2" i="3" s="1"/>
  <c r="I3" i="3"/>
  <c r="G30" i="4" s="1"/>
  <c r="H30" i="4" s="1"/>
  <c r="H4" i="3"/>
  <c r="G5" i="4"/>
  <c r="H5" i="4" s="1"/>
  <c r="G6" i="4"/>
  <c r="H6" i="4" s="1"/>
  <c r="G7" i="4"/>
  <c r="H7" i="4" s="1"/>
  <c r="G8" i="4"/>
  <c r="H8" i="4" s="1"/>
  <c r="G9" i="4"/>
  <c r="H9" i="4" s="1"/>
  <c r="G10" i="4"/>
  <c r="H10" i="4" s="1"/>
  <c r="G11" i="4"/>
  <c r="H11" i="4" s="1"/>
  <c r="G12" i="4"/>
  <c r="H12" i="4" s="1"/>
  <c r="G13" i="4"/>
  <c r="H13" i="4" s="1"/>
  <c r="G14" i="4"/>
  <c r="H14" i="4" s="1"/>
  <c r="G15" i="4"/>
  <c r="H15" i="4" s="1"/>
  <c r="G16" i="4"/>
  <c r="H16" i="4" s="1"/>
  <c r="G17" i="4"/>
  <c r="H17" i="4" s="1"/>
  <c r="G19" i="4"/>
  <c r="H19" i="4" s="1"/>
  <c r="G20" i="4"/>
  <c r="H20" i="4" s="1"/>
  <c r="G21" i="4"/>
  <c r="H21" i="4" s="1"/>
  <c r="G18" i="4"/>
  <c r="H18" i="4" s="1"/>
  <c r="G22" i="4"/>
  <c r="H22" i="4" s="1"/>
  <c r="E27" i="10"/>
  <c r="G27" i="10" s="1"/>
  <c r="E26" i="10"/>
  <c r="G26" i="10" s="1"/>
  <c r="E25" i="10"/>
  <c r="G25" i="10" s="1"/>
  <c r="E24" i="10"/>
  <c r="G24" i="10" s="1"/>
  <c r="E23" i="10"/>
  <c r="G23" i="10" s="1"/>
  <c r="E22" i="10"/>
  <c r="G22" i="10" s="1"/>
  <c r="E21" i="10"/>
  <c r="G21" i="10" s="1"/>
  <c r="E20" i="10"/>
  <c r="G20" i="10" s="1"/>
  <c r="E19" i="10"/>
  <c r="G19" i="10" s="1"/>
  <c r="E18" i="10"/>
  <c r="G18" i="10" s="1"/>
  <c r="E17" i="10"/>
  <c r="G17" i="10" s="1"/>
  <c r="E16" i="10"/>
  <c r="G16" i="10" s="1"/>
  <c r="E15" i="10"/>
  <c r="G15" i="10" s="1"/>
  <c r="E14" i="10"/>
  <c r="G14" i="10" s="1"/>
  <c r="E13" i="10"/>
  <c r="G13" i="10" s="1"/>
  <c r="E12" i="10"/>
  <c r="G12" i="10" s="1"/>
  <c r="E11" i="10"/>
  <c r="G11" i="10" s="1"/>
  <c r="E10" i="10"/>
  <c r="G10" i="10" s="1"/>
  <c r="E9" i="10"/>
  <c r="G9" i="10" s="1"/>
  <c r="E8" i="10"/>
  <c r="G8" i="10" s="1"/>
  <c r="E7" i="10"/>
  <c r="G7" i="10" s="1"/>
  <c r="E6" i="10"/>
  <c r="G6" i="10" s="1"/>
  <c r="F19" i="9"/>
  <c r="F20" i="9"/>
  <c r="D6" i="9"/>
  <c r="F6" i="9" s="1"/>
  <c r="D7" i="9"/>
  <c r="F7" i="9" s="1"/>
  <c r="D8" i="9"/>
  <c r="F8" i="9" s="1"/>
  <c r="D9" i="9"/>
  <c r="F9" i="9" s="1"/>
  <c r="D10" i="9"/>
  <c r="F10" i="9" s="1"/>
  <c r="D11" i="9"/>
  <c r="F11" i="9" s="1"/>
  <c r="D12" i="9"/>
  <c r="F12" i="9" s="1"/>
  <c r="D13" i="9"/>
  <c r="F13" i="9" s="1"/>
  <c r="D14" i="9"/>
  <c r="F14" i="9" s="1"/>
  <c r="D15" i="9"/>
  <c r="F15" i="9" s="1"/>
  <c r="D16" i="9"/>
  <c r="F16" i="9" s="1"/>
  <c r="D17" i="9"/>
  <c r="F17" i="9" s="1"/>
  <c r="D18" i="9"/>
  <c r="F18" i="9" s="1"/>
  <c r="D19" i="9"/>
  <c r="D20" i="9"/>
  <c r="D21" i="9"/>
  <c r="F21" i="9" s="1"/>
  <c r="D22" i="9"/>
  <c r="F22" i="9" s="1"/>
  <c r="D23" i="9"/>
  <c r="F23" i="9" s="1"/>
  <c r="D24" i="9"/>
  <c r="F24" i="9" s="1"/>
  <c r="D25" i="9"/>
  <c r="F25" i="9" s="1"/>
  <c r="D26" i="9"/>
  <c r="F26" i="9" s="1"/>
  <c r="D5" i="9"/>
  <c r="F5" i="9" s="1"/>
  <c r="P8" i="8"/>
  <c r="O9" i="8"/>
  <c r="P9" i="8" s="1"/>
  <c r="Q9" i="8" s="1"/>
  <c r="P9" i="7" s="1"/>
  <c r="O10" i="8"/>
  <c r="P10" i="8" s="1"/>
  <c r="Q10" i="8" s="1"/>
  <c r="O11" i="8"/>
  <c r="P11" i="8" s="1"/>
  <c r="Q11" i="8" s="1"/>
  <c r="O12" i="8"/>
  <c r="P12" i="8" s="1"/>
  <c r="Q12" i="8" s="1"/>
  <c r="P15" i="8"/>
  <c r="Q15" i="8" s="1"/>
  <c r="S15" i="8" s="1"/>
  <c r="P16" i="8"/>
  <c r="Q16" i="8" s="1"/>
  <c r="P17" i="8"/>
  <c r="Q17" i="8" s="1"/>
  <c r="E21" i="7"/>
  <c r="G21" i="7" s="1"/>
  <c r="E24" i="7" s="1"/>
  <c r="E16" i="7"/>
  <c r="F16" i="7" s="1"/>
  <c r="G16" i="7" s="1"/>
  <c r="G23" i="4"/>
  <c r="H23" i="4" s="1"/>
  <c r="C18" i="4"/>
  <c r="D18" i="4" s="1"/>
  <c r="C19" i="4"/>
  <c r="D19" i="4" s="1"/>
  <c r="C20" i="4"/>
  <c r="D20" i="4" s="1"/>
  <c r="C22" i="4"/>
  <c r="D22" i="4" s="1"/>
  <c r="C23" i="4"/>
  <c r="D23" i="4" s="1"/>
  <c r="P10" i="7" l="1"/>
  <c r="Q8" i="8"/>
  <c r="G2" i="4"/>
  <c r="H2" i="4" s="1"/>
  <c r="G29" i="4"/>
  <c r="H29" i="4" s="1"/>
  <c r="C2" i="4"/>
  <c r="D2" i="4" s="1"/>
  <c r="O10" i="3"/>
  <c r="C6" i="4"/>
  <c r="D6" i="4" s="1"/>
  <c r="D30" i="4"/>
  <c r="C7" i="4"/>
  <c r="D7" i="4" s="1"/>
  <c r="D31" i="4"/>
  <c r="I4" i="3"/>
  <c r="P10" i="3"/>
  <c r="O9" i="3"/>
  <c r="D4" i="4"/>
  <c r="O8" i="3"/>
  <c r="C3" i="4"/>
  <c r="D3" i="4" s="1"/>
  <c r="G3" i="4"/>
  <c r="H3" i="4" s="1"/>
  <c r="P8" i="3"/>
  <c r="S10" i="8"/>
  <c r="C5" i="4"/>
  <c r="D5" i="4" s="1"/>
  <c r="P8" i="7" l="1"/>
  <c r="S8" i="8"/>
  <c r="N61" i="8"/>
  <c r="P9" i="3"/>
  <c r="G31" i="4"/>
  <c r="H31" i="4" s="1"/>
  <c r="S16" i="8"/>
  <c r="S9" i="8"/>
  <c r="S17" i="8"/>
  <c r="G4" i="4"/>
  <c r="H4" i="4" s="1"/>
  <c r="P12" i="3"/>
  <c r="P11" i="3"/>
  <c r="O12" i="3"/>
  <c r="O11" i="3"/>
  <c r="T15" i="8" l="1"/>
  <c r="T8" i="8"/>
</calcChain>
</file>

<file path=xl/sharedStrings.xml><?xml version="1.0" encoding="utf-8"?>
<sst xmlns="http://schemas.openxmlformats.org/spreadsheetml/2006/main" count="203" uniqueCount="107">
  <si>
    <t>Scan Rate</t>
  </si>
  <si>
    <t xml:space="preserve">Oxidation Peak Corrected for basline </t>
  </si>
  <si>
    <t>Cyt C</t>
  </si>
  <si>
    <t>Porph Peak 1</t>
  </si>
  <si>
    <t>Porph Peak 2</t>
  </si>
  <si>
    <t xml:space="preserve">Reduction Peak Corrected for basline </t>
  </si>
  <si>
    <t>Poprh 1</t>
  </si>
  <si>
    <t>Porph 2</t>
  </si>
  <si>
    <t xml:space="preserve">Oxidation Ep </t>
  </si>
  <si>
    <t xml:space="preserve">E 1/2 </t>
  </si>
  <si>
    <t xml:space="preserve">E0 </t>
  </si>
  <si>
    <t xml:space="preserve">Reduction Ep </t>
  </si>
  <si>
    <t xml:space="preserve">Log(scan rate) </t>
  </si>
  <si>
    <t>Standard Electrode Potential E0</t>
  </si>
  <si>
    <t>Porph 1</t>
  </si>
  <si>
    <t>Oxidation</t>
  </si>
  <si>
    <t>Reduction</t>
  </si>
  <si>
    <t>Average</t>
  </si>
  <si>
    <t>Sdev</t>
  </si>
  <si>
    <t>Oxidation Ep</t>
  </si>
  <si>
    <t>Oxidation E0</t>
  </si>
  <si>
    <t>Ep-E0</t>
  </si>
  <si>
    <t>Reduction E0</t>
  </si>
  <si>
    <t>GNP Peak</t>
  </si>
  <si>
    <t>Porph peak</t>
  </si>
  <si>
    <t>x=0.2</t>
  </si>
  <si>
    <t>Slope = -2.3RT/anF</t>
  </si>
  <si>
    <t xml:space="preserve">Reduced </t>
  </si>
  <si>
    <t>Oxidised</t>
  </si>
  <si>
    <t xml:space="preserve">n= electron transfer =1 </t>
  </si>
  <si>
    <t>F= Faraday constant =96485.332</t>
  </si>
  <si>
    <t>a= heterogeneous rate constant = between 0 and 1</t>
  </si>
  <si>
    <t xml:space="preserve">R = rate constant =8.314 </t>
  </si>
  <si>
    <t xml:space="preserve">slope -0.02980 =  -2.3RT / anF </t>
  </si>
  <si>
    <t>slope  0.008563 = -2.3RT/ anF</t>
  </si>
  <si>
    <t>T= temperature =293</t>
  </si>
  <si>
    <t xml:space="preserve">n x F </t>
  </si>
  <si>
    <t xml:space="preserve">R x T </t>
  </si>
  <si>
    <t>when plotting from 0</t>
  </si>
  <si>
    <t>thus  -0.0298 = -2.3*2436.002/96485.33a</t>
  </si>
  <si>
    <t>thus 0.008563= -2.3*2436.002/96485.33a</t>
  </si>
  <si>
    <t xml:space="preserve">alpha = -5602.8046/ (slope x 96485.33) </t>
  </si>
  <si>
    <t>equation  -0.0298 = -5602.8/ 96485.33a</t>
  </si>
  <si>
    <t>equation  0.008563= -5602.8/ 96485.33a</t>
  </si>
  <si>
    <t xml:space="preserve">slope = -5602.8 / (96485.33 * a) </t>
  </si>
  <si>
    <t>Reduced heterogenous rate constant = 0.850703</t>
  </si>
  <si>
    <t>Oxidised heterogenous rate constant = 0.008563</t>
  </si>
  <si>
    <t>akhil -0.06483   a=0.895712</t>
  </si>
  <si>
    <t xml:space="preserve">akhil 0.03396 a= -1.709923 </t>
  </si>
  <si>
    <t xml:space="preserve">ALPHA= 0.850703 </t>
  </si>
  <si>
    <t>JP ALPHA 0.995</t>
  </si>
  <si>
    <t>Peak separation(n∆Ep)</t>
  </si>
  <si>
    <t>-(alpha2*F/RT)*PS</t>
  </si>
  <si>
    <t>PSI</t>
  </si>
  <si>
    <t>(value)^-0.5</t>
  </si>
  <si>
    <r>
      <t>a.</t>
    </r>
    <r>
      <rPr>
        <sz val="7"/>
        <color theme="1"/>
        <rFont val="Times New Roman"/>
        <family val="1"/>
      </rPr>
      <t xml:space="preserve">     </t>
    </r>
  </si>
  <si>
    <t>a=alpha</t>
  </si>
  <si>
    <t>F=96485.332</t>
  </si>
  <si>
    <t>R=8.314</t>
  </si>
  <si>
    <t>alpha/pi</t>
  </si>
  <si>
    <t>alpha/pi^0.5</t>
  </si>
  <si>
    <t>2.18*alpha/pi^0.5</t>
  </si>
  <si>
    <t>T=293</t>
  </si>
  <si>
    <t>n=1</t>
  </si>
  <si>
    <t xml:space="preserve">∆Ep=peak separation </t>
  </si>
  <si>
    <t>A squared</t>
  </si>
  <si>
    <t>A2*F</t>
  </si>
  <si>
    <t>RT= 2436.002</t>
  </si>
  <si>
    <t>A2*F/RT</t>
  </si>
  <si>
    <t xml:space="preserve"> [πDnvF/(RT)]-0.5</t>
  </si>
  <si>
    <t xml:space="preserve">D diffusion coefficient </t>
  </si>
  <si>
    <t>D=diffusion coefficient</t>
  </si>
  <si>
    <t>for ox</t>
  </si>
  <si>
    <t>Calculating x axis</t>
  </si>
  <si>
    <t>OX</t>
  </si>
  <si>
    <t>Oxidised sample divided by Reduced</t>
  </si>
  <si>
    <t>n=electron transfer</t>
  </si>
  <si>
    <t>D for Randles-Sevcik equation</t>
  </si>
  <si>
    <t>303117.6102 x v x D</t>
  </si>
  <si>
    <t>(303117.6102 x v x D)/RT</t>
  </si>
  <si>
    <t xml:space="preserve">ELECTRON TRANSFER RATE </t>
  </si>
  <si>
    <t xml:space="preserve">v=scan rate </t>
  </si>
  <si>
    <t>RED</t>
  </si>
  <si>
    <t>R= 8.314</t>
  </si>
  <si>
    <t>fo red</t>
  </si>
  <si>
    <t xml:space="preserve">y axis = psi calculations </t>
  </si>
  <si>
    <t xml:space="preserve">C0 =129 nM </t>
  </si>
  <si>
    <t>F= 96485.332</t>
  </si>
  <si>
    <t>where, nM = nanomolar i.e. 10^-9 M</t>
  </si>
  <si>
    <t>v= scan rate</t>
  </si>
  <si>
    <t>A = 1 cm^2</t>
  </si>
  <si>
    <t>C0 = 1.29 x 10^-7</t>
  </si>
  <si>
    <t>0.005Vs OX</t>
  </si>
  <si>
    <t>/</t>
  </si>
  <si>
    <t>0.0025Vs OX</t>
  </si>
  <si>
    <t>Cocnentration</t>
  </si>
  <si>
    <t>Conc*scan rate</t>
  </si>
  <si>
    <t>peak current</t>
  </si>
  <si>
    <t>peak current/(conc*scan rate)</t>
  </si>
  <si>
    <t xml:space="preserve">a=alpha </t>
  </si>
  <si>
    <t>alpha</t>
  </si>
  <si>
    <t>alpha / pi</t>
  </si>
  <si>
    <t>(alpha/pi)^0.5</t>
  </si>
  <si>
    <t>(alpha/pi)^0.5*2.18</t>
  </si>
  <si>
    <t xml:space="preserve">alpha squared </t>
  </si>
  <si>
    <t>a2 * F</t>
  </si>
  <si>
    <t>a2 * F / 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</si>
</sst>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0.0000"/>
  </numFmts>
  <fonts count="6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left" vertical="center" indent="8"/>
    </xf>
    <xf numFmtId="49" fontId="0" fillId="0" borderId="0" xfId="0" applyNumberFormat="1"/>
    <xf numFmtId="11" fontId="0" fillId="0" borderId="0" xfId="0" applyNumberFormat="1"/>
    <xf numFmtId="164" fontId="0" fillId="0" borderId="0" xfId="0" applyNumberFormat="1"/>
    <xf numFmtId="0" fontId="5" fillId="0" borderId="0" xfId="0" applyFont="1"/>
    <xf numFmtId="11" fontId="5" fillId="0" borderId="0" xfId="0" applyNumberFormat="1" applyFont="1"/>
    <xf numFmtId="164" fontId="5" fillId="0" borderId="0" xfId="0" applyNumberFormat="1" applyFont="1"/>
    <xf numFmtId="165" fontId="0" fillId="0" borderId="0" xfId="0" applyNumberFormat="1"/>
    <xf numFmtId="166" fontId="0" fillId="0" borderId="0" xfId="0" applyNumberFormat="1"/>
    <xf numFmtId="166" fontId="1" fillId="0" borderId="0" xfId="0" applyNumberFormat="1" applyFont="1"/>
    <xf numFmtId="166" fontId="5" fillId="0" borderId="0" xfId="0" applyNumberFormat="1" applyFont="1"/>
    <xf numFmtId="11" fontId="1" fillId="0" borderId="0" xfId="0" applyNumberFormat="1" applyFont="1"/>
    <xf numFmtId="0" fontId="1" fillId="0" borderId="0" xfId="0" applyFon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5</xdr:row>
      <xdr:rowOff>25400</xdr:rowOff>
    </xdr:from>
    <xdr:to>
      <xdr:col>7</xdr:col>
      <xdr:colOff>177800</xdr:colOff>
      <xdr:row>8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789909-B0DB-BC44-8320-B117ECCEB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800" y="1041400"/>
          <a:ext cx="535940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673100</xdr:colOff>
      <xdr:row>4</xdr:row>
      <xdr:rowOff>25400</xdr:rowOff>
    </xdr:from>
    <xdr:to>
      <xdr:col>8</xdr:col>
      <xdr:colOff>444500</xdr:colOff>
      <xdr:row>11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F09FE7-BD20-3F43-AD27-F22E57383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600" y="838200"/>
          <a:ext cx="3898900" cy="143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812800</xdr:colOff>
      <xdr:row>2</xdr:row>
      <xdr:rowOff>38100</xdr:rowOff>
    </xdr:from>
    <xdr:to>
      <xdr:col>8</xdr:col>
      <xdr:colOff>139700</xdr:colOff>
      <xdr:row>6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5FF5E5-CB46-A442-A4C2-B4C5EAB3C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444500"/>
          <a:ext cx="5105400" cy="96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08EAE-A6B5-1E40-8A61-D458F8B9DEB5}">
  <dimension ref="A1:E24"/>
  <sheetViews>
    <sheetView zoomScale="182" zoomScaleNormal="182" workbookViewId="0">
      <selection activeCell="B15" sqref="B15"/>
    </sheetView>
  </sheetViews>
  <sheetFormatPr defaultColWidth="11" defaultRowHeight="15.95"/>
  <cols>
    <col min="2" max="2" width="30.625" customWidth="1"/>
    <col min="4" max="4" width="15.625" customWidth="1"/>
  </cols>
  <sheetData>
    <row r="1" spans="1:5">
      <c r="A1" s="1" t="s">
        <v>0</v>
      </c>
      <c r="B1" s="1" t="s">
        <v>1</v>
      </c>
      <c r="C1" s="1"/>
      <c r="D1" s="1" t="s">
        <v>2</v>
      </c>
      <c r="E1" s="1"/>
    </row>
    <row r="2" spans="1:5">
      <c r="A2" s="1">
        <v>0.01</v>
      </c>
      <c r="B2" s="7">
        <v>1.5132100000000002E-8</v>
      </c>
      <c r="C2" s="8">
        <f>B2*1000000</f>
        <v>1.5132100000000001E-2</v>
      </c>
    </row>
    <row r="3" spans="1:5">
      <c r="A3" s="1">
        <v>2.5000000000000001E-2</v>
      </c>
      <c r="B3" s="7">
        <v>2.065E-8</v>
      </c>
      <c r="C3" s="8">
        <f t="shared" ref="C3" si="0">B3*1000000</f>
        <v>2.0649999999999998E-2</v>
      </c>
    </row>
    <row r="4" spans="1:5">
      <c r="A4" s="1">
        <v>0.05</v>
      </c>
      <c r="B4" s="7">
        <v>2.7895899999999998E-8</v>
      </c>
      <c r="C4" s="8">
        <f>B4*1000000</f>
        <v>2.7895899999999998E-2</v>
      </c>
    </row>
    <row r="7" spans="1:5">
      <c r="A7" s="1" t="s">
        <v>0</v>
      </c>
      <c r="B7" s="1" t="s">
        <v>1</v>
      </c>
      <c r="C7" s="1"/>
      <c r="D7" s="1" t="s">
        <v>3</v>
      </c>
    </row>
    <row r="8" spans="1:5">
      <c r="A8" s="1">
        <v>0.01</v>
      </c>
      <c r="B8" s="7">
        <v>4.9330700000000002E-9</v>
      </c>
      <c r="C8" s="8">
        <f>B8*1000000</f>
        <v>4.9330700000000003E-3</v>
      </c>
    </row>
    <row r="9" spans="1:5">
      <c r="A9" s="1">
        <v>2.5000000000000001E-2</v>
      </c>
      <c r="B9" s="7">
        <v>7.4665999999999998E-9</v>
      </c>
      <c r="C9" s="8">
        <f t="shared" ref="C9" si="1">B9*1000000</f>
        <v>7.4665999999999995E-3</v>
      </c>
    </row>
    <row r="10" spans="1:5">
      <c r="A10" s="1">
        <v>0.05</v>
      </c>
      <c r="B10" s="7">
        <v>7.9538499999999998E-9</v>
      </c>
      <c r="C10" s="8">
        <f>B10*1000000</f>
        <v>7.9538500000000002E-3</v>
      </c>
    </row>
    <row r="11" spans="1:5">
      <c r="A11" s="1"/>
    </row>
    <row r="12" spans="1:5">
      <c r="A12" s="1" t="s">
        <v>0</v>
      </c>
      <c r="B12" s="1" t="s">
        <v>1</v>
      </c>
      <c r="C12" s="1"/>
      <c r="D12" s="1" t="s">
        <v>4</v>
      </c>
    </row>
    <row r="13" spans="1:5">
      <c r="A13" s="1">
        <v>0.01</v>
      </c>
      <c r="B13" s="10">
        <v>5.6880899999999999E-9</v>
      </c>
      <c r="C13" s="11">
        <f t="shared" ref="C13:C14" si="2">B13*1000000</f>
        <v>5.6880899999999998E-3</v>
      </c>
      <c r="D13" s="9"/>
    </row>
    <row r="14" spans="1:5">
      <c r="A14" s="1">
        <v>2.5000000000000001E-2</v>
      </c>
      <c r="B14" s="10">
        <v>5.1195E-9</v>
      </c>
      <c r="C14" s="11">
        <f t="shared" si="2"/>
        <v>5.1194999999999999E-3</v>
      </c>
      <c r="D14" s="9"/>
    </row>
    <row r="15" spans="1:5">
      <c r="A15" s="1">
        <v>0.05</v>
      </c>
      <c r="B15" s="10">
        <v>7.4287499999999996E-9</v>
      </c>
      <c r="C15" s="11">
        <f>B15*1000000</f>
        <v>7.4287499999999996E-3</v>
      </c>
      <c r="D15" s="9"/>
    </row>
    <row r="16" spans="1:5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A996C-DE77-594C-824A-BC4C45DA69A7}">
  <dimension ref="A1:D24"/>
  <sheetViews>
    <sheetView zoomScale="200" zoomScaleNormal="200" workbookViewId="0">
      <selection activeCell="B15" sqref="B15"/>
    </sheetView>
  </sheetViews>
  <sheetFormatPr defaultColWidth="11" defaultRowHeight="15.95"/>
  <cols>
    <col min="2" max="2" width="30.125" customWidth="1"/>
    <col min="4" max="4" width="16.375" customWidth="1"/>
  </cols>
  <sheetData>
    <row r="1" spans="1:4">
      <c r="A1" s="1" t="s">
        <v>0</v>
      </c>
      <c r="B1" s="1" t="s">
        <v>5</v>
      </c>
      <c r="C1" s="1"/>
      <c r="D1" s="1" t="s">
        <v>2</v>
      </c>
    </row>
    <row r="2" spans="1:4">
      <c r="A2" s="1">
        <v>0.01</v>
      </c>
      <c r="B2" s="7">
        <v>-1.42827E-8</v>
      </c>
      <c r="C2" s="8">
        <f>B2*1000000</f>
        <v>-1.4282700000000001E-2</v>
      </c>
    </row>
    <row r="3" spans="1:4">
      <c r="A3" s="1">
        <v>2.5000000000000001E-2</v>
      </c>
      <c r="B3" s="7">
        <v>-2.1226000000000001E-8</v>
      </c>
      <c r="C3" s="8">
        <f t="shared" ref="C3" si="0">B3*1000000</f>
        <v>-2.1226000000000002E-2</v>
      </c>
    </row>
    <row r="4" spans="1:4">
      <c r="A4" s="1">
        <v>0.05</v>
      </c>
      <c r="B4" s="7">
        <v>-3.3487000000000001E-8</v>
      </c>
      <c r="C4" s="8">
        <f>B4*1000000</f>
        <v>-3.3487000000000003E-2</v>
      </c>
    </row>
    <row r="7" spans="1:4">
      <c r="A7" s="1" t="s">
        <v>0</v>
      </c>
      <c r="B7" s="1" t="s">
        <v>5</v>
      </c>
      <c r="C7" s="1"/>
      <c r="D7" s="1" t="s">
        <v>6</v>
      </c>
    </row>
    <row r="8" spans="1:4">
      <c r="A8" s="1">
        <v>0.01</v>
      </c>
      <c r="B8" s="7">
        <v>-8.2971599999999995E-9</v>
      </c>
      <c r="C8" s="8">
        <f>B8*1000000</f>
        <v>-8.2971599999999996E-3</v>
      </c>
    </row>
    <row r="9" spans="1:4">
      <c r="A9" s="1">
        <v>2.5000000000000001E-2</v>
      </c>
      <c r="B9" s="7">
        <v>-1.0684999999999999E-8</v>
      </c>
      <c r="C9" s="8">
        <f t="shared" ref="C9" si="1">B9*1000000</f>
        <v>-1.0685E-2</v>
      </c>
    </row>
    <row r="10" spans="1:4">
      <c r="A10" s="1">
        <v>0.05</v>
      </c>
      <c r="B10" s="7">
        <v>-7.7599999999999997E-9</v>
      </c>
      <c r="C10" s="8">
        <f>B10*1000000</f>
        <v>-7.7599999999999995E-3</v>
      </c>
    </row>
    <row r="11" spans="1:4">
      <c r="A11" s="1"/>
    </row>
    <row r="12" spans="1:4">
      <c r="A12" s="1" t="s">
        <v>0</v>
      </c>
      <c r="B12" s="1" t="s">
        <v>5</v>
      </c>
      <c r="C12" s="1"/>
      <c r="D12" s="1" t="s">
        <v>7</v>
      </c>
    </row>
    <row r="13" spans="1:4">
      <c r="A13" s="1">
        <v>0.01</v>
      </c>
      <c r="B13" s="16">
        <v>-6.6662E-9</v>
      </c>
      <c r="C13" s="11">
        <f>B13*1000000</f>
        <v>-6.6661999999999997E-3</v>
      </c>
      <c r="D13" s="9"/>
    </row>
    <row r="14" spans="1:4">
      <c r="A14" s="1">
        <v>2.5000000000000001E-2</v>
      </c>
      <c r="B14" s="10">
        <v>-5.5574500000000001E-9</v>
      </c>
      <c r="C14" s="11">
        <f t="shared" ref="C14" si="2">B14*1000000</f>
        <v>-5.5574500000000002E-3</v>
      </c>
      <c r="D14" s="9"/>
    </row>
    <row r="15" spans="1:4">
      <c r="A15" s="1">
        <v>0.05</v>
      </c>
      <c r="B15" s="16">
        <v>-4.4366999999999998E-9</v>
      </c>
      <c r="C15" s="11">
        <f>B15*1000000</f>
        <v>-4.4367E-3</v>
      </c>
      <c r="D15" s="9"/>
    </row>
    <row r="16" spans="1:4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AE0C-93BD-C14C-8990-CBBD30C28AF6}">
  <dimension ref="A1:P29"/>
  <sheetViews>
    <sheetView zoomScale="112" workbookViewId="0">
      <selection activeCell="G15" sqref="G15"/>
    </sheetView>
  </sheetViews>
  <sheetFormatPr defaultColWidth="11" defaultRowHeight="15.95"/>
  <sheetData>
    <row r="1" spans="1:16">
      <c r="A1" s="1" t="s">
        <v>0</v>
      </c>
      <c r="B1" s="1" t="s">
        <v>8</v>
      </c>
      <c r="C1" s="1" t="s">
        <v>9</v>
      </c>
      <c r="D1" s="1" t="s">
        <v>10</v>
      </c>
      <c r="F1" s="1" t="s">
        <v>0</v>
      </c>
      <c r="G1" s="1" t="s">
        <v>11</v>
      </c>
      <c r="H1" s="1" t="s">
        <v>9</v>
      </c>
      <c r="I1" s="1" t="s">
        <v>10</v>
      </c>
      <c r="K1" s="1" t="s">
        <v>12</v>
      </c>
      <c r="L1" s="1" t="s">
        <v>2</v>
      </c>
    </row>
    <row r="2" spans="1:16">
      <c r="A2" s="1">
        <v>0.01</v>
      </c>
      <c r="B2" s="12">
        <v>4.1660000000000003E-2</v>
      </c>
      <c r="C2">
        <f>B2*0.5</f>
        <v>2.0830000000000001E-2</v>
      </c>
      <c r="D2">
        <f>C2+0.025247382</f>
        <v>4.6077382E-2</v>
      </c>
      <c r="F2" s="1">
        <v>0.01</v>
      </c>
      <c r="G2" s="12">
        <v>7.2020000000000001E-2</v>
      </c>
      <c r="H2">
        <f>G2*0.5</f>
        <v>3.601E-2</v>
      </c>
      <c r="I2">
        <f>H2+0.025247382</f>
        <v>6.1257381999999999E-2</v>
      </c>
      <c r="K2">
        <f>LOG(A2)</f>
        <v>-2</v>
      </c>
    </row>
    <row r="3" spans="1:16">
      <c r="A3" s="1">
        <v>2.5000000000000001E-2</v>
      </c>
      <c r="B3" s="13">
        <v>4.1660000000000003E-2</v>
      </c>
      <c r="C3">
        <f t="shared" ref="C3:C4" si="0">B3*0.5</f>
        <v>2.0830000000000001E-2</v>
      </c>
      <c r="D3">
        <f>C3+0.025247382</f>
        <v>4.6077382E-2</v>
      </c>
      <c r="F3" s="1">
        <v>2.5000000000000001E-2</v>
      </c>
      <c r="G3" s="7">
        <v>6.6989999999999994E-2</v>
      </c>
      <c r="H3">
        <f t="shared" ref="H2:H4" si="1">G3*0.5</f>
        <v>3.3494999999999997E-2</v>
      </c>
      <c r="I3">
        <f t="shared" ref="I3:I4" si="2">H3+0.025247382</f>
        <v>5.8742381999999996E-2</v>
      </c>
      <c r="K3">
        <f t="shared" ref="K3:K4" si="3">LOG(A3)</f>
        <v>-1.6020599913279623</v>
      </c>
      <c r="N3" s="1" t="s">
        <v>13</v>
      </c>
    </row>
    <row r="4" spans="1:16">
      <c r="A4" s="1">
        <v>0.05</v>
      </c>
      <c r="B4" s="13">
        <v>4.6690000000000002E-2</v>
      </c>
      <c r="C4">
        <f t="shared" si="0"/>
        <v>2.3345000000000001E-2</v>
      </c>
      <c r="D4">
        <f>C4+0.025247382</f>
        <v>4.8592382000000003E-2</v>
      </c>
      <c r="F4" s="1">
        <v>0.05</v>
      </c>
      <c r="G4">
        <v>6.6989999999999994E-2</v>
      </c>
      <c r="H4">
        <f t="shared" si="1"/>
        <v>3.3494999999999997E-2</v>
      </c>
      <c r="I4">
        <f t="shared" si="2"/>
        <v>5.8742381999999996E-2</v>
      </c>
      <c r="K4">
        <f t="shared" si="3"/>
        <v>-1.3010299956639813</v>
      </c>
    </row>
    <row r="5" spans="1:16">
      <c r="B5" s="13"/>
    </row>
    <row r="6" spans="1:16">
      <c r="B6" s="13"/>
    </row>
    <row r="7" spans="1:16">
      <c r="A7" s="1" t="s">
        <v>0</v>
      </c>
      <c r="B7" s="14" t="s">
        <v>8</v>
      </c>
      <c r="C7" s="1" t="s">
        <v>9</v>
      </c>
      <c r="D7" s="1" t="s">
        <v>10</v>
      </c>
      <c r="F7" s="1" t="s">
        <v>0</v>
      </c>
      <c r="G7" s="1" t="s">
        <v>11</v>
      </c>
      <c r="H7" s="1" t="s">
        <v>9</v>
      </c>
      <c r="I7" s="1" t="s">
        <v>10</v>
      </c>
      <c r="K7" s="1" t="s">
        <v>12</v>
      </c>
      <c r="L7" s="1" t="s">
        <v>14</v>
      </c>
      <c r="O7" t="s">
        <v>15</v>
      </c>
      <c r="P7" t="s">
        <v>16</v>
      </c>
    </row>
    <row r="8" spans="1:16">
      <c r="A8" s="1">
        <v>0.01</v>
      </c>
      <c r="B8">
        <v>0.47974</v>
      </c>
      <c r="C8">
        <f t="shared" ref="C8:C10" si="4">B8*0.5</f>
        <v>0.23987</v>
      </c>
      <c r="D8">
        <f>C8+0.025247382</f>
        <v>0.26511738200000001</v>
      </c>
      <c r="F8" s="1">
        <v>0.01</v>
      </c>
      <c r="G8">
        <v>0.46478000000000003</v>
      </c>
      <c r="H8">
        <f t="shared" ref="H8:H10" si="5">G8*0.5</f>
        <v>0.23239000000000001</v>
      </c>
      <c r="I8">
        <f>H8+0.025247382</f>
        <v>0.25763738200000003</v>
      </c>
      <c r="K8">
        <f>LOG(A8)</f>
        <v>-2</v>
      </c>
      <c r="N8" s="2">
        <v>0.1</v>
      </c>
      <c r="O8">
        <f>D3</f>
        <v>4.6077382E-2</v>
      </c>
      <c r="P8">
        <f>I3</f>
        <v>5.8742381999999996E-2</v>
      </c>
    </row>
    <row r="9" spans="1:16">
      <c r="A9" s="1">
        <v>2.5000000000000001E-2</v>
      </c>
      <c r="B9" s="13">
        <v>0.47974</v>
      </c>
      <c r="C9">
        <f t="shared" si="4"/>
        <v>0.23987</v>
      </c>
      <c r="D9">
        <f>C9+0.025247382</f>
        <v>0.26511738200000001</v>
      </c>
      <c r="F9" s="1">
        <v>2.5000000000000001E-2</v>
      </c>
      <c r="G9">
        <v>0.5101</v>
      </c>
      <c r="H9">
        <f t="shared" si="5"/>
        <v>0.25505</v>
      </c>
      <c r="I9">
        <f t="shared" ref="I9:I10" si="6">H9+0.025247382</f>
        <v>0.28029738199999998</v>
      </c>
      <c r="K9">
        <f t="shared" ref="K9:K10" si="7">LOG(A9)</f>
        <v>-1.6020599913279623</v>
      </c>
      <c r="N9" s="2">
        <v>0.2</v>
      </c>
      <c r="O9">
        <f>D4</f>
        <v>4.8592382000000003E-2</v>
      </c>
      <c r="P9">
        <f>I4</f>
        <v>5.8742381999999996E-2</v>
      </c>
    </row>
    <row r="10" spans="1:16">
      <c r="A10" s="1">
        <v>0.05</v>
      </c>
      <c r="B10" s="13">
        <v>0.51497999999999999</v>
      </c>
      <c r="C10">
        <f t="shared" si="4"/>
        <v>0.25749</v>
      </c>
      <c r="D10">
        <f>C10+0.025247382</f>
        <v>0.28273738199999998</v>
      </c>
      <c r="F10" s="1">
        <v>0.05</v>
      </c>
      <c r="G10">
        <v>0.57555999999999996</v>
      </c>
      <c r="H10">
        <f t="shared" si="5"/>
        <v>0.28777999999999998</v>
      </c>
      <c r="I10">
        <f t="shared" si="6"/>
        <v>0.31302738199999997</v>
      </c>
      <c r="K10">
        <f t="shared" si="7"/>
        <v>-1.3010299956639813</v>
      </c>
      <c r="N10" s="2">
        <v>0.3</v>
      </c>
      <c r="O10">
        <f>D5</f>
        <v>0</v>
      </c>
      <c r="P10">
        <f>I5</f>
        <v>0</v>
      </c>
    </row>
    <row r="11" spans="1:16">
      <c r="A11" s="1"/>
      <c r="B11" s="13"/>
      <c r="F11" s="1"/>
      <c r="N11" s="2" t="s">
        <v>17</v>
      </c>
      <c r="O11">
        <f>AVERAGE(O8:O10)</f>
        <v>3.1556588000000003E-2</v>
      </c>
      <c r="P11">
        <f>AVERAGE(P8:P10)</f>
        <v>3.9161587999999997E-2</v>
      </c>
    </row>
    <row r="12" spans="1:16">
      <c r="A12" s="1"/>
      <c r="B12" s="13"/>
      <c r="F12" s="1"/>
      <c r="N12" s="2" t="s">
        <v>18</v>
      </c>
      <c r="O12">
        <f>_xlfn.STDEV.S(O8:O10)</f>
        <v>2.7357722692163321E-2</v>
      </c>
      <c r="P12">
        <f>_xlfn.STDEV.S(P8:P10)</f>
        <v>3.3914930060539826E-2</v>
      </c>
    </row>
    <row r="13" spans="1:16">
      <c r="A13" s="1" t="s">
        <v>0</v>
      </c>
      <c r="B13" s="14" t="s">
        <v>8</v>
      </c>
      <c r="C13" s="1" t="s">
        <v>9</v>
      </c>
      <c r="D13" s="1" t="s">
        <v>10</v>
      </c>
      <c r="E13" s="9"/>
      <c r="F13" s="1" t="s">
        <v>0</v>
      </c>
      <c r="G13" s="1" t="s">
        <v>11</v>
      </c>
      <c r="H13" s="1" t="s">
        <v>9</v>
      </c>
      <c r="I13" s="1" t="s">
        <v>10</v>
      </c>
      <c r="J13" s="9"/>
      <c r="K13" s="1" t="s">
        <v>12</v>
      </c>
      <c r="L13" s="1" t="s">
        <v>7</v>
      </c>
    </row>
    <row r="14" spans="1:16">
      <c r="A14" s="1">
        <v>0.01</v>
      </c>
      <c r="B14" s="9">
        <v>0.88759999999999994</v>
      </c>
      <c r="C14" s="9">
        <f>B14/2</f>
        <v>0.44379999999999997</v>
      </c>
      <c r="D14" s="9">
        <f>C14+0.025247382</f>
        <v>0.46904738199999996</v>
      </c>
      <c r="E14" s="9"/>
      <c r="F14" s="1">
        <v>0.01</v>
      </c>
      <c r="G14" s="9">
        <v>0.86760999999999999</v>
      </c>
      <c r="H14" s="9">
        <f>G14/2</f>
        <v>0.433805</v>
      </c>
      <c r="I14" s="9">
        <f>H14+0.02524738</f>
        <v>0.45905237999999998</v>
      </c>
      <c r="J14" s="9"/>
      <c r="K14" s="9">
        <v>-2</v>
      </c>
      <c r="L14" s="9"/>
    </row>
    <row r="15" spans="1:16">
      <c r="A15" s="1">
        <v>2.5000000000000001E-2</v>
      </c>
      <c r="B15" s="15">
        <v>0.88256999999999997</v>
      </c>
      <c r="C15" s="9">
        <f t="shared" ref="C15:C16" si="8">B15/2</f>
        <v>0.44128499999999998</v>
      </c>
      <c r="D15" s="9">
        <f t="shared" ref="D15:D16" si="9">C15+0.025247382</f>
        <v>0.46653238199999997</v>
      </c>
      <c r="E15" s="9"/>
      <c r="F15" s="1">
        <v>2.5000000000000001E-2</v>
      </c>
      <c r="G15" s="9">
        <v>0.89783000000000002</v>
      </c>
      <c r="H15" s="9">
        <f t="shared" ref="H15:H16" si="10">G15/2</f>
        <v>0.44891500000000001</v>
      </c>
      <c r="I15" s="9">
        <f t="shared" ref="I15:I16" si="11">H15+0.02524738</f>
        <v>0.47416237999999999</v>
      </c>
      <c r="J15" s="9"/>
      <c r="K15" s="9">
        <v>-1.60206</v>
      </c>
      <c r="L15" s="9"/>
    </row>
    <row r="16" spans="1:16">
      <c r="A16" s="1">
        <v>0.05</v>
      </c>
      <c r="B16" s="15">
        <v>0.90774999999999995</v>
      </c>
      <c r="C16" s="9">
        <f t="shared" si="8"/>
        <v>0.45387499999999997</v>
      </c>
      <c r="D16" s="9">
        <f t="shared" si="9"/>
        <v>0.47912238199999996</v>
      </c>
      <c r="E16" s="9"/>
      <c r="F16" s="1">
        <v>0.05</v>
      </c>
      <c r="G16" s="9">
        <v>0.91293000000000002</v>
      </c>
      <c r="H16" s="9">
        <f t="shared" si="10"/>
        <v>0.45646500000000001</v>
      </c>
      <c r="I16" s="9">
        <f t="shared" si="11"/>
        <v>0.48171238</v>
      </c>
      <c r="J16" s="9"/>
      <c r="K16" s="9">
        <v>-1.3010299999999999</v>
      </c>
      <c r="L16" s="9"/>
    </row>
    <row r="17" spans="1:6">
      <c r="A17" s="1"/>
      <c r="B17" s="13"/>
      <c r="F17" s="1"/>
    </row>
    <row r="18" spans="1:6">
      <c r="A18" s="1"/>
      <c r="F18" s="1"/>
    </row>
    <row r="19" spans="1:6">
      <c r="A19" s="1"/>
      <c r="F19" s="1"/>
    </row>
    <row r="20" spans="1:6">
      <c r="A20" s="1"/>
      <c r="F20" s="1"/>
    </row>
    <row r="21" spans="1:6">
      <c r="A21" s="1"/>
      <c r="F21" s="1"/>
    </row>
    <row r="22" spans="1:6">
      <c r="A22" s="1"/>
      <c r="F22" s="1"/>
    </row>
    <row r="23" spans="1:6">
      <c r="A23" s="1"/>
      <c r="F23" s="1"/>
    </row>
    <row r="24" spans="1:6">
      <c r="A24" s="1"/>
      <c r="F24" s="1"/>
    </row>
    <row r="25" spans="1:6">
      <c r="A25" s="1"/>
      <c r="F25" s="1"/>
    </row>
    <row r="26" spans="1:6">
      <c r="A26" s="1"/>
      <c r="F26" s="1"/>
    </row>
    <row r="29" spans="1:6">
      <c r="B29">
        <v>2.5247381999999999E-2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25EF8-01A4-F947-B420-E5DC69C05506}">
  <dimension ref="A1:M43"/>
  <sheetViews>
    <sheetView workbookViewId="0">
      <selection activeCell="A41" sqref="A41"/>
    </sheetView>
  </sheetViews>
  <sheetFormatPr defaultColWidth="11" defaultRowHeight="15.95"/>
  <sheetData>
    <row r="1" spans="1:13">
      <c r="A1" s="1" t="s">
        <v>0</v>
      </c>
      <c r="B1" s="1" t="s">
        <v>19</v>
      </c>
      <c r="C1" s="1" t="s">
        <v>20</v>
      </c>
      <c r="D1" s="1" t="s">
        <v>21</v>
      </c>
      <c r="F1" s="1" t="s">
        <v>11</v>
      </c>
      <c r="G1" s="1" t="s">
        <v>22</v>
      </c>
      <c r="H1" s="3" t="s">
        <v>21</v>
      </c>
      <c r="I1" s="1"/>
      <c r="K1" s="1"/>
      <c r="M1" s="1"/>
    </row>
    <row r="2" spans="1:13">
      <c r="A2" s="1">
        <v>0.05</v>
      </c>
      <c r="B2">
        <v>8.4080000000000002E-2</v>
      </c>
      <c r="C2">
        <f>'E half'!D2</f>
        <v>4.6077382E-2</v>
      </c>
      <c r="D2">
        <f>B2-C2</f>
        <v>3.8002618000000002E-2</v>
      </c>
      <c r="F2">
        <v>4.4400000000000002E-2</v>
      </c>
      <c r="G2">
        <f>'E half'!I2</f>
        <v>6.1257381999999999E-2</v>
      </c>
      <c r="H2">
        <f>F2-G2</f>
        <v>-1.6857381999999997E-2</v>
      </c>
    </row>
    <row r="3" spans="1:13">
      <c r="A3" s="1">
        <v>0.1</v>
      </c>
      <c r="B3">
        <v>9.171E-2</v>
      </c>
      <c r="C3">
        <f>'E half'!D3</f>
        <v>4.6077382E-2</v>
      </c>
      <c r="D3">
        <f t="shared" ref="D3:D23" si="0">B3-C3</f>
        <v>4.5632618E-2</v>
      </c>
      <c r="F3">
        <v>4.4400000000000002E-2</v>
      </c>
      <c r="G3">
        <f>'E half'!I3</f>
        <v>5.8742381999999996E-2</v>
      </c>
      <c r="H3">
        <f t="shared" ref="H3:H23" si="1">F3-G3</f>
        <v>-1.4342381999999994E-2</v>
      </c>
    </row>
    <row r="4" spans="1:13">
      <c r="A4" s="1">
        <v>0.2</v>
      </c>
      <c r="B4">
        <v>7.9500000000000001E-2</v>
      </c>
      <c r="C4">
        <f>'E half'!D4</f>
        <v>4.8592382000000003E-2</v>
      </c>
      <c r="D4">
        <f t="shared" si="0"/>
        <v>3.0907617999999998E-2</v>
      </c>
      <c r="F4">
        <v>4.5929999999999999E-2</v>
      </c>
      <c r="G4">
        <f>'E half'!I4</f>
        <v>5.8742381999999996E-2</v>
      </c>
      <c r="H4">
        <f t="shared" si="1"/>
        <v>-1.2812381999999997E-2</v>
      </c>
    </row>
    <row r="5" spans="1:13">
      <c r="A5" s="1">
        <v>0.3</v>
      </c>
      <c r="B5">
        <v>8.7739999999999999E-2</v>
      </c>
      <c r="C5">
        <f>'E half'!D5</f>
        <v>0</v>
      </c>
      <c r="D5">
        <f t="shared" si="0"/>
        <v>8.7739999999999999E-2</v>
      </c>
      <c r="F5">
        <v>4.2419999999999999E-2</v>
      </c>
      <c r="G5">
        <f>'E half'!I5</f>
        <v>0</v>
      </c>
      <c r="H5">
        <f>F5-G5</f>
        <v>4.2419999999999999E-2</v>
      </c>
    </row>
    <row r="6" spans="1:13">
      <c r="A6" s="1">
        <v>0.4</v>
      </c>
      <c r="B6">
        <v>9.0480000000000005E-2</v>
      </c>
      <c r="C6">
        <f>'E half'!D6</f>
        <v>0</v>
      </c>
      <c r="D6">
        <f t="shared" si="0"/>
        <v>9.0480000000000005E-2</v>
      </c>
      <c r="F6">
        <v>3.6929999999999998E-2</v>
      </c>
      <c r="G6">
        <f>'E half'!I6</f>
        <v>0</v>
      </c>
      <c r="H6">
        <f t="shared" si="1"/>
        <v>3.6929999999999998E-2</v>
      </c>
    </row>
    <row r="7" spans="1:13">
      <c r="A7" s="1">
        <v>0.5</v>
      </c>
      <c r="B7">
        <v>9.0480000000000005E-2</v>
      </c>
      <c r="C7" t="str">
        <f>'E half'!D7</f>
        <v xml:space="preserve">E0 </v>
      </c>
      <c r="D7" t="e">
        <f t="shared" si="0"/>
        <v>#VALUE!</v>
      </c>
      <c r="F7">
        <v>3.4939999999999999E-2</v>
      </c>
      <c r="G7" t="str">
        <f>'E half'!I7</f>
        <v xml:space="preserve">E0 </v>
      </c>
      <c r="H7" t="e">
        <f t="shared" si="1"/>
        <v>#VALUE!</v>
      </c>
    </row>
    <row r="8" spans="1:13">
      <c r="A8" s="1">
        <v>0.6</v>
      </c>
      <c r="B8">
        <v>9.3840000000000007E-2</v>
      </c>
      <c r="C8">
        <f>'E half'!D8</f>
        <v>0.26511738200000001</v>
      </c>
      <c r="D8">
        <f t="shared" si="0"/>
        <v>-0.17127738200000001</v>
      </c>
      <c r="F8">
        <v>3.9829999999999997E-2</v>
      </c>
      <c r="G8">
        <f>'E half'!I8</f>
        <v>0.25763738200000003</v>
      </c>
      <c r="H8">
        <f t="shared" si="1"/>
        <v>-0.21780738200000002</v>
      </c>
    </row>
    <row r="9" spans="1:13">
      <c r="A9" s="1">
        <v>0.7</v>
      </c>
      <c r="B9">
        <v>8.7739999999999999E-2</v>
      </c>
      <c r="C9">
        <f>'E half'!D9</f>
        <v>0.26511738200000001</v>
      </c>
      <c r="D9">
        <f t="shared" si="0"/>
        <v>-0.17737738200000003</v>
      </c>
      <c r="F9">
        <v>3.7379999999999997E-2</v>
      </c>
      <c r="G9">
        <f>'E half'!I9</f>
        <v>0.28029738199999998</v>
      </c>
      <c r="H9">
        <f t="shared" si="1"/>
        <v>-0.24291738199999999</v>
      </c>
    </row>
    <row r="10" spans="1:13">
      <c r="A10" s="1">
        <v>0.8</v>
      </c>
      <c r="B10">
        <v>8.652E-2</v>
      </c>
      <c r="C10">
        <f>'E half'!D10</f>
        <v>0.28273738199999998</v>
      </c>
      <c r="D10">
        <f t="shared" si="0"/>
        <v>-0.196217382</v>
      </c>
      <c r="F10">
        <v>3.8300000000000001E-2</v>
      </c>
      <c r="G10">
        <f>'E half'!I10</f>
        <v>0.31302738199999997</v>
      </c>
      <c r="H10">
        <f t="shared" si="1"/>
        <v>-0.27472738199999996</v>
      </c>
    </row>
    <row r="11" spans="1:13">
      <c r="A11" s="1">
        <v>0.9</v>
      </c>
      <c r="B11">
        <v>8.591E-2</v>
      </c>
      <c r="C11">
        <f>'E half'!D11</f>
        <v>0</v>
      </c>
      <c r="D11">
        <f t="shared" si="0"/>
        <v>8.591E-2</v>
      </c>
      <c r="F11">
        <v>2.6089999999999999E-2</v>
      </c>
      <c r="G11">
        <f>'E half'!I11</f>
        <v>0</v>
      </c>
      <c r="H11">
        <f t="shared" si="1"/>
        <v>2.6089999999999999E-2</v>
      </c>
    </row>
    <row r="12" spans="1:13">
      <c r="A12" s="1">
        <v>1</v>
      </c>
      <c r="B12">
        <v>0.10009999999999999</v>
      </c>
      <c r="C12">
        <f>'E half'!D12</f>
        <v>0</v>
      </c>
      <c r="D12">
        <f t="shared" si="0"/>
        <v>0.10009999999999999</v>
      </c>
      <c r="F12">
        <v>4.0129999999999999E-2</v>
      </c>
      <c r="G12">
        <f>'E half'!I12</f>
        <v>0</v>
      </c>
      <c r="H12">
        <f t="shared" si="1"/>
        <v>4.0129999999999999E-2</v>
      </c>
    </row>
    <row r="13" spans="1:13">
      <c r="A13" s="1">
        <v>1.2</v>
      </c>
      <c r="B13">
        <v>8.0110000000000001E-2</v>
      </c>
      <c r="C13" t="str">
        <f>'E half'!D13</f>
        <v xml:space="preserve">E0 </v>
      </c>
      <c r="D13" t="e">
        <f t="shared" si="0"/>
        <v>#VALUE!</v>
      </c>
      <c r="F13">
        <v>4.0129999999999999E-2</v>
      </c>
      <c r="G13" t="str">
        <f>'E half'!I13</f>
        <v xml:space="preserve">E0 </v>
      </c>
      <c r="H13" t="e">
        <f t="shared" si="1"/>
        <v>#VALUE!</v>
      </c>
    </row>
    <row r="14" spans="1:13">
      <c r="A14" s="1">
        <v>1.4</v>
      </c>
      <c r="B14">
        <v>0.10009999999999999</v>
      </c>
      <c r="C14">
        <f>'E half'!D14</f>
        <v>0.46904738199999996</v>
      </c>
      <c r="D14">
        <f t="shared" si="0"/>
        <v>-0.36894738199999999</v>
      </c>
      <c r="F14">
        <v>2.0140000000000002E-2</v>
      </c>
      <c r="G14">
        <f>'E half'!I14</f>
        <v>0.45905237999999998</v>
      </c>
      <c r="H14">
        <f t="shared" si="1"/>
        <v>-0.43891237999999999</v>
      </c>
    </row>
    <row r="15" spans="1:13">
      <c r="A15" s="1">
        <v>1.6</v>
      </c>
      <c r="B15">
        <v>8.0110000000000001E-2</v>
      </c>
      <c r="C15">
        <f>'E half'!D15</f>
        <v>0.46653238199999997</v>
      </c>
      <c r="D15">
        <f t="shared" si="0"/>
        <v>-0.38642238199999995</v>
      </c>
      <c r="F15">
        <v>4.0129999999999999E-2</v>
      </c>
      <c r="G15">
        <f>'E half'!I15</f>
        <v>0.47416237999999999</v>
      </c>
      <c r="H15">
        <f t="shared" si="1"/>
        <v>-0.43403238</v>
      </c>
    </row>
    <row r="16" spans="1:13">
      <c r="A16" s="1">
        <v>1.8</v>
      </c>
      <c r="B16">
        <v>9.9330000000000002E-2</v>
      </c>
      <c r="C16">
        <f>'E half'!D16</f>
        <v>0.47912238199999996</v>
      </c>
      <c r="D16">
        <f t="shared" si="0"/>
        <v>-0.37979238199999998</v>
      </c>
      <c r="F16">
        <v>3.9219999999999998E-2</v>
      </c>
      <c r="G16">
        <f>'E half'!I16</f>
        <v>0.48171238</v>
      </c>
      <c r="H16">
        <f t="shared" si="1"/>
        <v>-0.44249238000000002</v>
      </c>
    </row>
    <row r="17" spans="1:8">
      <c r="A17" s="1">
        <v>2</v>
      </c>
      <c r="B17">
        <v>8.0110000000000001E-2</v>
      </c>
      <c r="C17">
        <f>'E half'!D17</f>
        <v>0</v>
      </c>
      <c r="D17">
        <f t="shared" si="0"/>
        <v>8.0110000000000001E-2</v>
      </c>
      <c r="F17">
        <v>4.0129999999999999E-2</v>
      </c>
      <c r="G17">
        <f>'E half'!I17</f>
        <v>0</v>
      </c>
      <c r="H17">
        <f t="shared" si="1"/>
        <v>4.0129999999999999E-2</v>
      </c>
    </row>
    <row r="18" spans="1:8">
      <c r="A18" s="1">
        <v>2.5</v>
      </c>
      <c r="B18">
        <v>8.0110000000000001E-2</v>
      </c>
      <c r="C18">
        <f>'E half'!D18</f>
        <v>0</v>
      </c>
      <c r="D18">
        <f t="shared" si="0"/>
        <v>8.0110000000000001E-2</v>
      </c>
      <c r="F18">
        <v>4.0129999999999999E-2</v>
      </c>
      <c r="G18">
        <f>'E half'!I18</f>
        <v>0</v>
      </c>
      <c r="H18">
        <f t="shared" si="1"/>
        <v>4.0129999999999999E-2</v>
      </c>
    </row>
    <row r="19" spans="1:8">
      <c r="A19" s="1">
        <v>3</v>
      </c>
      <c r="B19">
        <v>9.9640000000000006E-2</v>
      </c>
      <c r="C19">
        <f>'E half'!D19</f>
        <v>0</v>
      </c>
      <c r="D19">
        <f t="shared" si="0"/>
        <v>9.9640000000000006E-2</v>
      </c>
      <c r="F19">
        <v>-4.5780000000000001E-4</v>
      </c>
      <c r="G19">
        <f>'E half'!I19</f>
        <v>0</v>
      </c>
      <c r="H19">
        <f t="shared" si="1"/>
        <v>-4.5780000000000001E-4</v>
      </c>
    </row>
    <row r="20" spans="1:8">
      <c r="A20" s="1">
        <v>4</v>
      </c>
      <c r="B20">
        <v>0.10009999999999999</v>
      </c>
      <c r="C20">
        <f>'E half'!D20</f>
        <v>0</v>
      </c>
      <c r="D20">
        <f t="shared" si="0"/>
        <v>0.10009999999999999</v>
      </c>
      <c r="F20">
        <v>4.0129999999999999E-2</v>
      </c>
      <c r="G20">
        <f>'E half'!I20</f>
        <v>0</v>
      </c>
      <c r="H20">
        <f t="shared" si="1"/>
        <v>4.0129999999999999E-2</v>
      </c>
    </row>
    <row r="21" spans="1:8">
      <c r="A21" s="1">
        <v>5</v>
      </c>
      <c r="B21">
        <v>0.1198</v>
      </c>
      <c r="C21">
        <f>'E half'!D21</f>
        <v>0</v>
      </c>
      <c r="D21">
        <f t="shared" si="0"/>
        <v>0.1198</v>
      </c>
      <c r="F21">
        <v>4.9739999999999999E-2</v>
      </c>
      <c r="G21">
        <f>'E half'!I21</f>
        <v>0</v>
      </c>
      <c r="H21">
        <f t="shared" si="1"/>
        <v>4.9739999999999999E-2</v>
      </c>
    </row>
    <row r="22" spans="1:8">
      <c r="A22" s="1">
        <v>6</v>
      </c>
      <c r="B22">
        <v>0.12989999999999999</v>
      </c>
      <c r="C22">
        <f>'E half'!D22</f>
        <v>0</v>
      </c>
      <c r="D22">
        <f t="shared" si="0"/>
        <v>0.12989999999999999</v>
      </c>
      <c r="F22">
        <v>3.9829999999999997E-2</v>
      </c>
      <c r="G22">
        <f>'E half'!I22</f>
        <v>0</v>
      </c>
      <c r="H22">
        <f t="shared" si="1"/>
        <v>3.9829999999999997E-2</v>
      </c>
    </row>
    <row r="23" spans="1:8">
      <c r="A23" s="1">
        <v>7</v>
      </c>
      <c r="B23">
        <v>0.10009999999999999</v>
      </c>
      <c r="C23">
        <f>'E half'!D23</f>
        <v>0</v>
      </c>
      <c r="D23">
        <f t="shared" si="0"/>
        <v>0.10009999999999999</v>
      </c>
      <c r="F23">
        <v>1.526E-4</v>
      </c>
      <c r="G23">
        <f>'E half'!I23</f>
        <v>0</v>
      </c>
      <c r="H23">
        <f t="shared" si="1"/>
        <v>1.526E-4</v>
      </c>
    </row>
    <row r="24" spans="1:8">
      <c r="A24" s="1"/>
    </row>
    <row r="25" spans="1:8">
      <c r="A25" s="1"/>
    </row>
    <row r="26" spans="1:8">
      <c r="A26" s="1"/>
    </row>
    <row r="27" spans="1:8">
      <c r="A27" s="1"/>
    </row>
    <row r="28" spans="1:8">
      <c r="A28" s="1" t="s">
        <v>2</v>
      </c>
    </row>
    <row r="29" spans="1:8">
      <c r="A29" s="1">
        <v>0.01</v>
      </c>
      <c r="B29">
        <f>'E half'!B2</f>
        <v>4.1660000000000003E-2</v>
      </c>
      <c r="C29">
        <f>'E half'!D2</f>
        <v>4.6077382E-2</v>
      </c>
      <c r="D29">
        <f>B29-C29</f>
        <v>-4.4173819999999975E-3</v>
      </c>
      <c r="F29">
        <f>'E half'!G2</f>
        <v>7.2020000000000001E-2</v>
      </c>
      <c r="G29">
        <f>'E half'!I2</f>
        <v>6.1257381999999999E-2</v>
      </c>
      <c r="H29">
        <f t="shared" ref="H29:H43" si="2">F29-G29</f>
        <v>1.0762618000000002E-2</v>
      </c>
    </row>
    <row r="30" spans="1:8">
      <c r="A30" s="1">
        <v>2.5000000000000001E-2</v>
      </c>
      <c r="B30">
        <f>'E half'!B3</f>
        <v>4.1660000000000003E-2</v>
      </c>
      <c r="C30">
        <f>'E half'!D3</f>
        <v>4.6077382E-2</v>
      </c>
      <c r="D30">
        <f t="shared" ref="D29:D43" si="3">B30-C30</f>
        <v>-4.4173819999999975E-3</v>
      </c>
      <c r="F30">
        <f>'E half'!G3</f>
        <v>6.6989999999999994E-2</v>
      </c>
      <c r="G30">
        <f>'E half'!I3</f>
        <v>5.8742381999999996E-2</v>
      </c>
      <c r="H30">
        <f t="shared" si="2"/>
        <v>8.2476179999999982E-3</v>
      </c>
    </row>
    <row r="31" spans="1:8">
      <c r="A31" s="1">
        <v>0.05</v>
      </c>
      <c r="B31">
        <f>'E half'!B4</f>
        <v>4.6690000000000002E-2</v>
      </c>
      <c r="C31">
        <f>'E half'!D4</f>
        <v>4.8592382000000003E-2</v>
      </c>
      <c r="D31">
        <f t="shared" si="3"/>
        <v>-1.9023820000000011E-3</v>
      </c>
      <c r="F31">
        <f>'E half'!G4</f>
        <v>6.6989999999999994E-2</v>
      </c>
      <c r="G31">
        <f>'E half'!I4</f>
        <v>5.8742381999999996E-2</v>
      </c>
      <c r="H31">
        <f t="shared" si="2"/>
        <v>8.2476179999999982E-3</v>
      </c>
    </row>
    <row r="34" spans="1:8">
      <c r="A34" t="s">
        <v>23</v>
      </c>
    </row>
    <row r="35" spans="1:8">
      <c r="A35" s="1">
        <v>0.01</v>
      </c>
      <c r="B35">
        <f>'E half'!B8</f>
        <v>0.47974</v>
      </c>
      <c r="C35">
        <f>'E half'!D8</f>
        <v>0.26511738200000001</v>
      </c>
      <c r="D35">
        <f t="shared" si="3"/>
        <v>0.21462261799999999</v>
      </c>
      <c r="F35">
        <f>'E half'!G8</f>
        <v>0.46478000000000003</v>
      </c>
      <c r="G35">
        <f>'E half'!I8</f>
        <v>0.25763738200000003</v>
      </c>
      <c r="H35">
        <f t="shared" si="2"/>
        <v>0.207142618</v>
      </c>
    </row>
    <row r="36" spans="1:8">
      <c r="A36" s="1">
        <v>2.5000000000000001E-2</v>
      </c>
      <c r="B36">
        <f>'E half'!B9</f>
        <v>0.47974</v>
      </c>
      <c r="C36">
        <f>'E half'!D9</f>
        <v>0.26511738200000001</v>
      </c>
      <c r="D36">
        <f t="shared" si="3"/>
        <v>0.21462261799999999</v>
      </c>
      <c r="F36">
        <f>'E half'!G9</f>
        <v>0.5101</v>
      </c>
      <c r="G36">
        <f>'E half'!I9</f>
        <v>0.28029738199999998</v>
      </c>
      <c r="H36">
        <f t="shared" si="2"/>
        <v>0.22980261800000001</v>
      </c>
    </row>
    <row r="37" spans="1:8">
      <c r="A37" s="1">
        <v>0.05</v>
      </c>
      <c r="B37">
        <f>'E half'!B10</f>
        <v>0.51497999999999999</v>
      </c>
      <c r="C37">
        <f>'E half'!D10</f>
        <v>0.28273738199999998</v>
      </c>
      <c r="D37">
        <f t="shared" si="3"/>
        <v>0.23224261800000001</v>
      </c>
      <c r="F37">
        <f>'E half'!G10</f>
        <v>0.57555999999999996</v>
      </c>
      <c r="G37">
        <f>'E half'!I10</f>
        <v>0.31302738199999997</v>
      </c>
      <c r="H37">
        <f t="shared" si="2"/>
        <v>0.262532618</v>
      </c>
    </row>
    <row r="40" spans="1:8">
      <c r="A40" t="s">
        <v>24</v>
      </c>
    </row>
    <row r="41" spans="1:8">
      <c r="A41" s="1">
        <v>0.01</v>
      </c>
      <c r="B41">
        <f>'E half'!B14</f>
        <v>0.88759999999999994</v>
      </c>
      <c r="C41">
        <f>'E half'!D14</f>
        <v>0.46904738199999996</v>
      </c>
      <c r="D41">
        <f t="shared" si="3"/>
        <v>0.41855261799999999</v>
      </c>
      <c r="F41">
        <f>'E half'!G14</f>
        <v>0.86760999999999999</v>
      </c>
      <c r="G41">
        <f>'E half'!I14</f>
        <v>0.45905237999999998</v>
      </c>
      <c r="H41">
        <f t="shared" si="2"/>
        <v>0.40855762000000001</v>
      </c>
    </row>
    <row r="42" spans="1:8">
      <c r="A42" s="1">
        <v>2.5000000000000001E-2</v>
      </c>
      <c r="B42">
        <f>'E half'!B15</f>
        <v>0.88256999999999997</v>
      </c>
      <c r="C42">
        <f>'E half'!D15</f>
        <v>0.46653238199999997</v>
      </c>
      <c r="D42">
        <f t="shared" si="3"/>
        <v>0.416037618</v>
      </c>
      <c r="F42">
        <f>'E half'!G15</f>
        <v>0.89783000000000002</v>
      </c>
      <c r="G42">
        <f>'E half'!I15</f>
        <v>0.47416237999999999</v>
      </c>
      <c r="H42">
        <f t="shared" si="2"/>
        <v>0.42366762000000002</v>
      </c>
    </row>
    <row r="43" spans="1:8">
      <c r="A43" s="1">
        <v>0.05</v>
      </c>
      <c r="B43">
        <f>'E half'!B16</f>
        <v>0.90774999999999995</v>
      </c>
      <c r="C43">
        <f>'E half'!D16</f>
        <v>0.47912238199999996</v>
      </c>
      <c r="D43">
        <f t="shared" si="3"/>
        <v>0.42862761799999999</v>
      </c>
      <c r="F43">
        <f>'E half'!G16</f>
        <v>0.91293000000000002</v>
      </c>
      <c r="G43">
        <f>'E half'!I16</f>
        <v>0.48171238</v>
      </c>
      <c r="H43">
        <f t="shared" si="2"/>
        <v>0.43121762000000002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EDE00-0E50-C74B-92BD-E8DFC04174E3}">
  <dimension ref="A1:U26"/>
  <sheetViews>
    <sheetView zoomScale="83" workbookViewId="0">
      <selection activeCell="E27" sqref="E27"/>
    </sheetView>
  </sheetViews>
  <sheetFormatPr defaultColWidth="11" defaultRowHeight="15.95"/>
  <sheetData>
    <row r="1" spans="1:2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1"/>
      <c r="B2" s="1"/>
      <c r="C2" s="1"/>
      <c r="D2" s="1"/>
      <c r="E2" s="1"/>
      <c r="F2" s="1"/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>
      <c r="A4" s="1"/>
      <c r="B4" s="1" t="s">
        <v>26</v>
      </c>
      <c r="C4" s="1"/>
      <c r="D4" s="1"/>
      <c r="E4" s="1"/>
      <c r="F4" s="1"/>
      <c r="G4" s="1"/>
      <c r="H4" s="1" t="s">
        <v>27</v>
      </c>
      <c r="I4" s="1"/>
      <c r="J4" s="1"/>
      <c r="K4" s="1"/>
      <c r="L4" s="1"/>
      <c r="M4" s="1"/>
      <c r="N4" s="1"/>
      <c r="O4" s="1" t="s">
        <v>28</v>
      </c>
      <c r="P4" s="1"/>
      <c r="Q4" s="1"/>
      <c r="R4" s="1"/>
      <c r="S4" s="1"/>
      <c r="T4" s="1"/>
      <c r="U4" s="1"/>
    </row>
    <row r="5" spans="1:21">
      <c r="A5" s="1"/>
      <c r="B5" s="1"/>
      <c r="C5" s="1"/>
      <c r="D5" s="1"/>
      <c r="E5" s="1"/>
      <c r="F5" s="1"/>
      <c r="G5" s="1"/>
      <c r="H5" s="1">
        <v>-2.98E-2</v>
      </c>
      <c r="I5" s="1"/>
      <c r="J5" s="1"/>
      <c r="K5" s="1"/>
      <c r="L5" s="1"/>
      <c r="M5" s="1"/>
      <c r="N5" s="1"/>
      <c r="O5" s="1">
        <v>8.5629999999999994E-3</v>
      </c>
      <c r="P5" s="1"/>
      <c r="Q5" s="1"/>
      <c r="R5" s="1"/>
      <c r="S5" s="1"/>
      <c r="T5" s="1"/>
      <c r="U5" s="1"/>
    </row>
    <row r="6" spans="1:21">
      <c r="A6" s="1"/>
      <c r="B6" s="1" t="s">
        <v>29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>
      <c r="A7" s="1"/>
      <c r="B7" s="1" t="s">
        <v>30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>
      <c r="A8" s="1"/>
      <c r="B8" s="1" t="s">
        <v>31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>
      <c r="A9" s="1"/>
      <c r="B9" s="1" t="s">
        <v>32</v>
      </c>
      <c r="C9" s="1"/>
      <c r="D9" s="1"/>
      <c r="E9" s="1"/>
      <c r="F9" s="1"/>
      <c r="G9" s="1"/>
      <c r="H9" s="1" t="s">
        <v>33</v>
      </c>
      <c r="I9" s="1"/>
      <c r="J9" s="1"/>
      <c r="K9" s="1"/>
      <c r="L9" s="1"/>
      <c r="M9" s="1"/>
      <c r="N9" s="1"/>
      <c r="O9" s="1" t="s">
        <v>34</v>
      </c>
      <c r="P9" s="1"/>
      <c r="Q9" s="1"/>
      <c r="R9" s="1"/>
      <c r="S9" s="1"/>
      <c r="T9" s="1"/>
      <c r="U9" s="1"/>
    </row>
    <row r="10" spans="1:21">
      <c r="A10" s="1"/>
      <c r="B10" s="1" t="s">
        <v>35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>
      <c r="A11" s="1"/>
      <c r="B11" s="1"/>
      <c r="C11" s="1"/>
      <c r="D11" s="1"/>
      <c r="E11" s="1"/>
      <c r="F11" s="1"/>
      <c r="G11" s="1"/>
      <c r="H11" s="1" t="s">
        <v>36</v>
      </c>
      <c r="I11" s="1">
        <v>96485.331999999995</v>
      </c>
      <c r="J11" s="1"/>
      <c r="K11" s="1" t="s">
        <v>37</v>
      </c>
      <c r="L11" s="1">
        <v>2436.002</v>
      </c>
      <c r="M11" s="1"/>
      <c r="N11" s="1"/>
      <c r="O11" s="1" t="s">
        <v>36</v>
      </c>
      <c r="P11" s="1">
        <v>96485.331999999995</v>
      </c>
      <c r="Q11" s="1"/>
      <c r="R11" s="1" t="s">
        <v>37</v>
      </c>
      <c r="S11" s="1">
        <v>2436.002</v>
      </c>
      <c r="T11" s="1"/>
      <c r="U11" s="1"/>
    </row>
    <row r="12" spans="1:21">
      <c r="A12" s="1"/>
      <c r="B12" s="1" t="s">
        <v>38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>
      <c r="A13" s="1"/>
      <c r="B13" s="1"/>
      <c r="C13" s="1"/>
      <c r="D13" s="1"/>
      <c r="E13" s="1"/>
      <c r="F13" s="1"/>
      <c r="G13" s="1"/>
      <c r="H13" s="1" t="s">
        <v>39</v>
      </c>
      <c r="I13" s="1"/>
      <c r="J13" s="1"/>
      <c r="K13" s="1"/>
      <c r="L13" s="1"/>
      <c r="M13" s="1"/>
      <c r="N13" s="1"/>
      <c r="O13" s="1" t="s">
        <v>40</v>
      </c>
      <c r="P13" s="1"/>
      <c r="Q13" s="1"/>
      <c r="R13" s="1"/>
      <c r="S13" s="1"/>
      <c r="T13" s="1"/>
      <c r="U13" s="1"/>
    </row>
    <row r="14" spans="1:2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>
      <c r="A15" s="1"/>
      <c r="B15" s="4" t="s">
        <v>41</v>
      </c>
      <c r="C15" s="1"/>
      <c r="D15" s="1"/>
      <c r="E15" s="1"/>
      <c r="F15" s="1"/>
      <c r="G15" s="1"/>
      <c r="H15" s="1" t="s">
        <v>42</v>
      </c>
      <c r="I15" s="1"/>
      <c r="J15" s="1"/>
      <c r="K15" s="1"/>
      <c r="L15" s="1"/>
      <c r="M15" s="1"/>
      <c r="N15" s="1"/>
      <c r="O15" s="1" t="s">
        <v>43</v>
      </c>
      <c r="P15" s="1"/>
      <c r="Q15" s="1"/>
      <c r="R15" s="1"/>
      <c r="S15" s="1"/>
      <c r="T15" s="1"/>
      <c r="U15" s="1"/>
    </row>
    <row r="16" spans="1:2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>
      <c r="A17" s="1"/>
      <c r="B17" s="1" t="s">
        <v>44</v>
      </c>
      <c r="C17" s="1"/>
      <c r="D17" s="1"/>
      <c r="E17" s="1"/>
      <c r="F17" s="1"/>
      <c r="G17" s="1"/>
      <c r="H17" s="4" t="s">
        <v>45</v>
      </c>
      <c r="I17" s="4"/>
      <c r="J17" s="4"/>
      <c r="K17" s="4"/>
      <c r="L17" s="4"/>
      <c r="M17" s="1"/>
      <c r="N17" s="1"/>
      <c r="O17" s="4" t="s">
        <v>46</v>
      </c>
      <c r="P17" s="1"/>
      <c r="Q17" s="1"/>
      <c r="R17" s="1"/>
      <c r="S17" s="1"/>
      <c r="T17" s="1"/>
      <c r="U17" s="1"/>
    </row>
    <row r="18" spans="1:21">
      <c r="A18" s="1"/>
      <c r="B18" s="1"/>
      <c r="C18" s="1"/>
      <c r="D18" s="1"/>
      <c r="E18" s="1"/>
      <c r="F18" s="1"/>
      <c r="G18" s="1"/>
      <c r="H18" s="4"/>
      <c r="I18" s="4"/>
      <c r="J18" s="4"/>
      <c r="K18" s="4"/>
      <c r="L18" s="4"/>
      <c r="M18" s="1"/>
      <c r="N18" s="1"/>
      <c r="O18" s="4"/>
      <c r="P18" s="1"/>
      <c r="Q18" s="1"/>
      <c r="R18" s="1"/>
      <c r="S18" s="1"/>
      <c r="T18" s="1"/>
      <c r="U18" s="1"/>
    </row>
    <row r="19" spans="1:21">
      <c r="A19" s="1"/>
      <c r="B19" s="1" t="s">
        <v>47</v>
      </c>
      <c r="C19" s="1"/>
      <c r="D19" s="1"/>
      <c r="E19" s="1"/>
      <c r="F19" s="1"/>
      <c r="G19" s="1"/>
      <c r="H19" s="4"/>
      <c r="I19" s="4"/>
      <c r="J19" s="4"/>
      <c r="K19" s="4"/>
      <c r="L19" s="4"/>
      <c r="M19" s="1"/>
      <c r="N19" s="1"/>
      <c r="O19" s="4"/>
      <c r="P19" s="1"/>
      <c r="Q19" s="1"/>
      <c r="R19" s="1"/>
      <c r="S19" s="1"/>
      <c r="T19" s="1"/>
      <c r="U19" s="1"/>
    </row>
    <row r="20" spans="1:21">
      <c r="A20" s="1"/>
      <c r="B20" s="1" t="s">
        <v>48</v>
      </c>
      <c r="C20" s="1"/>
      <c r="D20" s="1"/>
      <c r="E20" s="1"/>
      <c r="F20" s="1"/>
      <c r="G20" s="1"/>
      <c r="H20" s="4" t="s">
        <v>49</v>
      </c>
      <c r="I20" s="4"/>
      <c r="J20" s="4"/>
      <c r="K20" s="4"/>
      <c r="L20" s="4"/>
      <c r="M20" s="1"/>
      <c r="N20" s="1"/>
      <c r="O20" s="4"/>
      <c r="P20" s="1"/>
      <c r="Q20" s="1"/>
      <c r="R20" s="1"/>
      <c r="S20" s="1"/>
      <c r="T20" s="1"/>
      <c r="U20" s="1"/>
    </row>
    <row r="21" spans="1:21">
      <c r="A21" s="1"/>
      <c r="B21" s="1"/>
      <c r="C21" s="1"/>
      <c r="D21" s="1"/>
      <c r="E21" s="1"/>
      <c r="F21" s="1"/>
      <c r="G21" s="1"/>
      <c r="H21" s="4"/>
      <c r="I21" s="4"/>
      <c r="J21" s="4"/>
      <c r="K21" s="4"/>
      <c r="L21" s="4"/>
      <c r="M21" s="1"/>
      <c r="N21" s="1"/>
      <c r="O21" s="4"/>
      <c r="P21" s="1"/>
      <c r="Q21" s="1"/>
      <c r="R21" s="1"/>
      <c r="S21" s="1"/>
      <c r="T21" s="1"/>
      <c r="U21" s="1"/>
    </row>
    <row r="22" spans="1:2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>
      <c r="A23" s="1"/>
      <c r="B23" s="1">
        <v>-5602.8046000000004</v>
      </c>
      <c r="C23" s="1"/>
      <c r="D23" s="1">
        <f>B23/B26</f>
        <v>-6.5444582193124479</v>
      </c>
      <c r="E23" s="1">
        <v>0.87545572000000005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>
      <c r="D24" s="1"/>
    </row>
    <row r="25" spans="1:21">
      <c r="G25" t="s">
        <v>50</v>
      </c>
    </row>
    <row r="26" spans="1:21">
      <c r="B26">
        <f>0.008873*I11</f>
        <v>856.11435083599997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BAD43-4157-054A-84D4-9005C15BAB4A}">
  <dimension ref="A5:Q27"/>
  <sheetViews>
    <sheetView workbookViewId="0">
      <selection activeCell="N9" sqref="N9"/>
    </sheetView>
  </sheetViews>
  <sheetFormatPr defaultColWidth="11" defaultRowHeight="15.95"/>
  <cols>
    <col min="7" max="7" width="15.375" customWidth="1"/>
    <col min="12" max="12" width="19.625" customWidth="1"/>
    <col min="13" max="13" width="19.875" customWidth="1"/>
    <col min="16" max="16" width="19" customWidth="1"/>
  </cols>
  <sheetData>
    <row r="5" spans="1:17">
      <c r="I5" s="1" t="s">
        <v>0</v>
      </c>
      <c r="J5" s="1" t="s">
        <v>8</v>
      </c>
      <c r="K5" s="1" t="s">
        <v>11</v>
      </c>
      <c r="L5" s="1" t="s">
        <v>51</v>
      </c>
      <c r="M5" s="6" t="s">
        <v>52</v>
      </c>
      <c r="N5" s="1" t="s">
        <v>53</v>
      </c>
      <c r="P5" s="1" t="s">
        <v>54</v>
      </c>
      <c r="Q5" s="1"/>
    </row>
    <row r="6" spans="1:17">
      <c r="B6" s="5" t="s">
        <v>55</v>
      </c>
      <c r="I6" s="1"/>
    </row>
    <row r="7" spans="1:17">
      <c r="I7" s="1"/>
    </row>
    <row r="8" spans="1:17">
      <c r="I8" s="1">
        <v>0.01</v>
      </c>
      <c r="J8">
        <f>'E half'!B2</f>
        <v>4.1660000000000003E-2</v>
      </c>
      <c r="K8">
        <f>'E half'!G2</f>
        <v>7.2020000000000001E-2</v>
      </c>
      <c r="L8">
        <f t="shared" ref="L8:L22" si="0">J8-K8</f>
        <v>-3.0359999999999998E-2</v>
      </c>
      <c r="M8">
        <f>L8*E24</f>
        <v>0.3006252334275587</v>
      </c>
      <c r="N8">
        <f>G16*EXP(M8)</f>
        <v>1.1746985682485318</v>
      </c>
      <c r="P8">
        <f>'PSI graph'!Q8</f>
        <v>748665425.88856733</v>
      </c>
    </row>
    <row r="9" spans="1:17">
      <c r="I9" s="1">
        <v>2.5000000000000001E-2</v>
      </c>
      <c r="J9">
        <f>'E half'!B3</f>
        <v>4.1660000000000003E-2</v>
      </c>
      <c r="K9">
        <f>'E half'!G3</f>
        <v>6.6989999999999994E-2</v>
      </c>
      <c r="L9">
        <f t="shared" si="0"/>
        <v>-2.5329999999999991E-2</v>
      </c>
      <c r="M9">
        <f>L9*E24</f>
        <v>0.25081808836363834</v>
      </c>
      <c r="N9">
        <f>G16*EXP(M9)</f>
        <v>1.117623361436233</v>
      </c>
      <c r="P9">
        <f>'PSI graph'!Q9</f>
        <v>345401623.80232477</v>
      </c>
    </row>
    <row r="10" spans="1:17">
      <c r="I10" s="1">
        <v>0.05</v>
      </c>
      <c r="J10">
        <f>'E half'!B4</f>
        <v>4.6690000000000002E-2</v>
      </c>
      <c r="K10">
        <f>'E half'!G4</f>
        <v>6.6989999999999994E-2</v>
      </c>
      <c r="L10">
        <f t="shared" si="0"/>
        <v>-2.0299999999999992E-2</v>
      </c>
      <c r="M10">
        <f>L10*E24</f>
        <v>0.20101094329971803</v>
      </c>
      <c r="N10">
        <f>G16*EXP(M10)</f>
        <v>1.0633212738910529</v>
      </c>
      <c r="P10">
        <f>'PSI graph'!Q10</f>
        <v>181207229.023864</v>
      </c>
    </row>
    <row r="12" spans="1:17">
      <c r="A12">
        <v>96485.331999999995</v>
      </c>
      <c r="I12" s="1"/>
    </row>
    <row r="13" spans="1:17">
      <c r="B13" s="1" t="s">
        <v>56</v>
      </c>
      <c r="C13">
        <v>0.5</v>
      </c>
      <c r="I13" s="1" t="s">
        <v>0</v>
      </c>
      <c r="J13" t="str">
        <f>'E half'!B7</f>
        <v xml:space="preserve">Oxidation Ep </v>
      </c>
      <c r="K13" t="str">
        <f>'E half'!G7</f>
        <v xml:space="preserve">Reduction Ep </v>
      </c>
    </row>
    <row r="14" spans="1:17">
      <c r="B14" s="1" t="s">
        <v>57</v>
      </c>
      <c r="I14" s="1">
        <v>0.01</v>
      </c>
      <c r="J14">
        <f>'E half'!B8</f>
        <v>0.47974</v>
      </c>
      <c r="K14">
        <f>'E half'!G8</f>
        <v>0.46478000000000003</v>
      </c>
      <c r="L14">
        <f t="shared" si="0"/>
        <v>1.4959999999999973E-2</v>
      </c>
      <c r="M14">
        <f>L14*E24</f>
        <v>-0.14813417299328954</v>
      </c>
      <c r="N14">
        <f>G16*EXP(M14)</f>
        <v>0.74995068391256781</v>
      </c>
    </row>
    <row r="15" spans="1:17">
      <c r="B15" s="1" t="s">
        <v>58</v>
      </c>
      <c r="E15" t="s">
        <v>59</v>
      </c>
      <c r="F15" t="s">
        <v>60</v>
      </c>
      <c r="G15" t="s">
        <v>61</v>
      </c>
      <c r="I15" s="1">
        <v>2.5000000000000001E-2</v>
      </c>
      <c r="J15">
        <f>'E half'!B9</f>
        <v>0.47974</v>
      </c>
      <c r="K15">
        <f>'E half'!G9</f>
        <v>0.5101</v>
      </c>
      <c r="L15">
        <f t="shared" si="0"/>
        <v>-3.0359999999999998E-2</v>
      </c>
      <c r="M15">
        <f>L15*E24</f>
        <v>0.3006252334275587</v>
      </c>
      <c r="N15">
        <f>G16*EXP(M15)</f>
        <v>1.1746985682485318</v>
      </c>
    </row>
    <row r="16" spans="1:17">
      <c r="B16" s="1" t="s">
        <v>62</v>
      </c>
      <c r="E16">
        <f>C13/PI()</f>
        <v>0.15915494309189535</v>
      </c>
      <c r="F16">
        <f>E16^0.5</f>
        <v>0.3989422804014327</v>
      </c>
      <c r="G16">
        <f>2.18*F16</f>
        <v>0.86969417127512338</v>
      </c>
      <c r="I16" s="1">
        <v>0.05</v>
      </c>
      <c r="J16">
        <f>'E half'!B10</f>
        <v>0.51497999999999999</v>
      </c>
      <c r="K16">
        <f>'E half'!G10</f>
        <v>0.57555999999999996</v>
      </c>
      <c r="L16">
        <f t="shared" si="0"/>
        <v>-6.0579999999999967E-2</v>
      </c>
      <c r="M16">
        <f>L16*E24</f>
        <v>0.59986418448753287</v>
      </c>
      <c r="N16">
        <f>G16*EXP(M16)</f>
        <v>1.5844708897304471</v>
      </c>
    </row>
    <row r="17" spans="2:14">
      <c r="B17" s="1" t="s">
        <v>63</v>
      </c>
      <c r="I17" s="1"/>
    </row>
    <row r="18" spans="2:14">
      <c r="B18" s="1" t="s">
        <v>64</v>
      </c>
      <c r="I18" s="1"/>
    </row>
    <row r="19" spans="2:14">
      <c r="B19" s="1"/>
      <c r="I19" s="1" t="s">
        <v>0</v>
      </c>
      <c r="J19" t="str">
        <f>'E half'!B13</f>
        <v xml:space="preserve">Oxidation Ep </v>
      </c>
      <c r="K19" t="str">
        <f>'E half'!G13</f>
        <v xml:space="preserve">Reduction Ep </v>
      </c>
    </row>
    <row r="20" spans="2:14">
      <c r="B20" s="1"/>
      <c r="E20" t="s">
        <v>65</v>
      </c>
      <c r="G20" t="s">
        <v>66</v>
      </c>
      <c r="I20" s="1">
        <v>0.01</v>
      </c>
      <c r="J20">
        <f>'E half'!B14</f>
        <v>0.88759999999999994</v>
      </c>
      <c r="K20">
        <f>'E half'!G14</f>
        <v>0.86760999999999999</v>
      </c>
      <c r="L20">
        <f t="shared" si="0"/>
        <v>1.9989999999999952E-2</v>
      </c>
      <c r="M20">
        <f>L20*E24</f>
        <v>-0.19794131805720963</v>
      </c>
      <c r="N20">
        <f>G16*EXP(M20)</f>
        <v>0.71351274864960545</v>
      </c>
    </row>
    <row r="21" spans="2:14">
      <c r="B21" s="1"/>
      <c r="E21">
        <f>C13^2</f>
        <v>0.25</v>
      </c>
      <c r="G21">
        <f>E21*A12</f>
        <v>24121.332999999999</v>
      </c>
      <c r="I21" s="1">
        <v>2.5000000000000001E-2</v>
      </c>
      <c r="J21">
        <f>'E half'!B15</f>
        <v>0.88256999999999997</v>
      </c>
      <c r="K21">
        <f>'E half'!G15</f>
        <v>0.89783000000000002</v>
      </c>
      <c r="L21">
        <f t="shared" si="0"/>
        <v>-1.5260000000000051E-2</v>
      </c>
      <c r="M21">
        <f>L21*E24</f>
        <v>0.15110477806668515</v>
      </c>
      <c r="N21">
        <f>G16*EXP(M21)</f>
        <v>1.0115573982222645</v>
      </c>
    </row>
    <row r="22" spans="2:14">
      <c r="B22" s="1" t="s">
        <v>67</v>
      </c>
      <c r="I22" s="1">
        <v>0.05</v>
      </c>
      <c r="J22">
        <f>'E half'!B16</f>
        <v>0.90774999999999995</v>
      </c>
      <c r="K22">
        <f>'E half'!G16</f>
        <v>0.91293000000000002</v>
      </c>
      <c r="L22">
        <f t="shared" si="0"/>
        <v>-5.1800000000000734E-3</v>
      </c>
      <c r="M22">
        <f>L22*E24</f>
        <v>5.1292447600618456E-2</v>
      </c>
      <c r="N22">
        <f>G16*EXP(M22)</f>
        <v>0.91546677350502736</v>
      </c>
    </row>
    <row r="23" spans="2:14">
      <c r="B23">
        <v>2436.002</v>
      </c>
      <c r="E23" t="s">
        <v>68</v>
      </c>
      <c r="I23" s="1"/>
    </row>
    <row r="24" spans="2:14">
      <c r="E24">
        <f>-G21/B23</f>
        <v>-9.9020169113161636</v>
      </c>
      <c r="I24" s="1"/>
    </row>
    <row r="25" spans="2:14">
      <c r="I25" s="1"/>
    </row>
    <row r="26" spans="2:14">
      <c r="I26" s="1"/>
    </row>
    <row r="27" spans="2:14">
      <c r="I27" s="1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E97D0-322B-234F-9997-8B35B72EB3F5}">
  <dimension ref="A2:V83"/>
  <sheetViews>
    <sheetView tabSelected="1" topLeftCell="G26" zoomScale="114" workbookViewId="0">
      <selection activeCell="S53" sqref="S53:S55"/>
    </sheetView>
  </sheetViews>
  <sheetFormatPr defaultColWidth="11" defaultRowHeight="15.95"/>
  <cols>
    <col min="12" max="12" width="25.875" customWidth="1"/>
    <col min="15" max="15" width="18" customWidth="1"/>
    <col min="16" max="16" width="21.875" customWidth="1"/>
    <col min="19" max="19" width="21" customWidth="1"/>
  </cols>
  <sheetData>
    <row r="2" spans="1:22">
      <c r="A2" s="1" t="s">
        <v>69</v>
      </c>
      <c r="B2" s="1"/>
    </row>
    <row r="3" spans="1:22">
      <c r="A3" s="1"/>
      <c r="B3" s="1"/>
      <c r="E3" s="1" t="s">
        <v>70</v>
      </c>
      <c r="F3" s="1"/>
      <c r="J3" t="s">
        <v>2</v>
      </c>
      <c r="P3" s="1" t="s">
        <v>69</v>
      </c>
      <c r="Q3" s="1"/>
    </row>
    <row r="4" spans="1:22">
      <c r="A4" s="1" t="s">
        <v>71</v>
      </c>
      <c r="B4" s="1"/>
      <c r="J4" t="s">
        <v>72</v>
      </c>
      <c r="O4" s="17" t="s">
        <v>73</v>
      </c>
      <c r="P4" s="17"/>
      <c r="Q4" s="17"/>
      <c r="R4" s="17"/>
      <c r="S4" t="s">
        <v>74</v>
      </c>
      <c r="V4" t="s">
        <v>75</v>
      </c>
    </row>
    <row r="5" spans="1:22">
      <c r="A5" s="1" t="s">
        <v>76</v>
      </c>
      <c r="B5" s="1"/>
      <c r="K5" s="1" t="s">
        <v>0</v>
      </c>
      <c r="L5" t="s">
        <v>77</v>
      </c>
      <c r="O5" s="1" t="s">
        <v>78</v>
      </c>
      <c r="P5" s="1" t="s">
        <v>79</v>
      </c>
      <c r="Q5" s="1" t="s">
        <v>54</v>
      </c>
      <c r="R5" s="1"/>
      <c r="S5" s="1" t="s">
        <v>80</v>
      </c>
    </row>
    <row r="6" spans="1:22">
      <c r="A6" s="1" t="s">
        <v>57</v>
      </c>
      <c r="B6" s="1"/>
      <c r="K6" s="1"/>
      <c r="L6" s="7"/>
      <c r="S6" s="7"/>
    </row>
    <row r="7" spans="1:22">
      <c r="A7" s="1" t="s">
        <v>58</v>
      </c>
      <c r="B7" s="1"/>
      <c r="K7" s="1"/>
      <c r="L7" s="7"/>
      <c r="S7" s="7"/>
    </row>
    <row r="8" spans="1:22">
      <c r="A8" s="1" t="s">
        <v>62</v>
      </c>
      <c r="B8" s="1"/>
      <c r="K8" s="1">
        <v>0.01</v>
      </c>
      <c r="L8" s="7">
        <v>1.4338077297579999E-18</v>
      </c>
      <c r="M8" s="7"/>
      <c r="O8" s="7">
        <f>K8*L8*303117.6102</f>
        <v>4.3461237253053229E-15</v>
      </c>
      <c r="P8">
        <f t="shared" ref="P8:P17" si="0">O8/2436.002</f>
        <v>1.7841215751486751E-18</v>
      </c>
      <c r="Q8">
        <f>P8^-0.5</f>
        <v>748665425.88856733</v>
      </c>
      <c r="S8" s="7">
        <f>PSI!N8/Q8</f>
        <v>1.5690567877557845E-9</v>
      </c>
      <c r="T8" s="7">
        <f>AVERAGE(S6:S10)</f>
        <v>3.5575876158571789E-9</v>
      </c>
      <c r="V8" s="7"/>
    </row>
    <row r="9" spans="1:22">
      <c r="A9" s="1" t="s">
        <v>81</v>
      </c>
      <c r="B9" s="1"/>
      <c r="K9" s="1">
        <v>2.5000000000000001E-2</v>
      </c>
      <c r="L9" s="7">
        <v>2.6944970576904901E-18</v>
      </c>
      <c r="M9" s="7"/>
      <c r="O9">
        <f t="shared" ref="O9:O12" si="1">K9*L9*303117.6102</f>
        <v>2.0418737720451825E-14</v>
      </c>
      <c r="P9">
        <f t="shared" si="0"/>
        <v>8.3820693580924093E-18</v>
      </c>
      <c r="Q9">
        <f t="shared" ref="Q9:Q17" si="2">P9^-0.5</f>
        <v>345401623.80232477</v>
      </c>
      <c r="S9" s="7">
        <f>PSI!N9/Q9</f>
        <v>3.2357212138523554E-9</v>
      </c>
    </row>
    <row r="10" spans="1:22">
      <c r="A10" s="1"/>
      <c r="B10" s="1"/>
      <c r="K10" s="1">
        <v>0.05</v>
      </c>
      <c r="L10" s="7">
        <v>4.8949180953507698E-18</v>
      </c>
      <c r="M10" s="7"/>
      <c r="O10">
        <f t="shared" si="1"/>
        <v>7.4186793759373058E-14</v>
      </c>
      <c r="P10">
        <f t="shared" si="0"/>
        <v>3.0454323830347041E-17</v>
      </c>
      <c r="Q10">
        <f t="shared" si="2"/>
        <v>181207229.023864</v>
      </c>
      <c r="S10" s="7">
        <f>PSI!N10/Q10</f>
        <v>5.8679848459633985E-9</v>
      </c>
    </row>
    <row r="11" spans="1:22">
      <c r="A11" s="1"/>
      <c r="B11" s="1"/>
      <c r="K11" s="1"/>
      <c r="L11" s="7"/>
      <c r="O11">
        <f t="shared" si="1"/>
        <v>0</v>
      </c>
      <c r="P11">
        <f t="shared" si="0"/>
        <v>0</v>
      </c>
      <c r="Q11" t="e">
        <f t="shared" si="2"/>
        <v>#DIV/0!</v>
      </c>
    </row>
    <row r="12" spans="1:22">
      <c r="A12" s="1"/>
      <c r="B12" s="1"/>
      <c r="K12" s="1"/>
      <c r="L12" s="7"/>
      <c r="O12">
        <f t="shared" si="1"/>
        <v>0</v>
      </c>
      <c r="P12">
        <f t="shared" si="0"/>
        <v>0</v>
      </c>
      <c r="Q12" t="e">
        <f t="shared" si="2"/>
        <v>#DIV/0!</v>
      </c>
      <c r="S12" t="s">
        <v>82</v>
      </c>
    </row>
    <row r="13" spans="1:22">
      <c r="A13" s="1"/>
      <c r="B13" s="1"/>
      <c r="D13" s="1" t="s">
        <v>83</v>
      </c>
      <c r="E13" s="1"/>
      <c r="F13" s="1"/>
      <c r="G13" s="1"/>
      <c r="H13" s="1"/>
      <c r="I13" s="1"/>
      <c r="J13" t="s">
        <v>84</v>
      </c>
      <c r="K13" s="1"/>
      <c r="M13" s="1"/>
      <c r="S13" s="7"/>
    </row>
    <row r="14" spans="1:22">
      <c r="A14" s="1" t="s">
        <v>85</v>
      </c>
      <c r="B14" s="1"/>
      <c r="D14" s="1" t="s">
        <v>62</v>
      </c>
      <c r="E14" s="1"/>
      <c r="F14" s="1"/>
      <c r="G14" s="1"/>
      <c r="H14" s="1"/>
      <c r="I14" s="1"/>
      <c r="J14" s="1"/>
      <c r="K14" s="1"/>
      <c r="M14" s="1"/>
      <c r="S14" s="7"/>
    </row>
    <row r="15" spans="1:22">
      <c r="D15" s="1" t="s">
        <v>63</v>
      </c>
      <c r="E15" s="1"/>
      <c r="F15" s="1"/>
      <c r="G15" s="1" t="s">
        <v>86</v>
      </c>
      <c r="H15" s="1"/>
      <c r="J15" s="1"/>
      <c r="K15" s="1">
        <v>0.01</v>
      </c>
      <c r="L15" s="7">
        <v>1.28590562983296E-18</v>
      </c>
      <c r="M15" s="1"/>
      <c r="O15" s="7">
        <f>K15*L15*303117.6102</f>
        <v>3.8978064145769268E-15</v>
      </c>
      <c r="P15">
        <f t="shared" si="0"/>
        <v>1.6000834213506092E-18</v>
      </c>
      <c r="Q15">
        <f t="shared" si="2"/>
        <v>790548806.35785806</v>
      </c>
      <c r="S15" s="7">
        <f>PSI!N8/Q15</f>
        <v>1.4859279513183915E-9</v>
      </c>
      <c r="T15" s="7">
        <f>AVERAGE(S13:S17)</f>
        <v>3.9485316461064781E-9</v>
      </c>
      <c r="V15" s="7"/>
    </row>
    <row r="16" spans="1:22">
      <c r="D16" s="1" t="s">
        <v>87</v>
      </c>
      <c r="E16" s="1"/>
      <c r="F16" s="1"/>
      <c r="G16" s="1" t="s">
        <v>88</v>
      </c>
      <c r="H16" s="1"/>
      <c r="J16" s="1"/>
      <c r="K16" s="1">
        <v>2.5000000000000001E-2</v>
      </c>
      <c r="L16" s="7">
        <v>2.8262380863227E-18</v>
      </c>
      <c r="O16" s="7">
        <f>K16*L16*303117.6102</f>
        <v>2.1417063364558957E-14</v>
      </c>
      <c r="P16">
        <f t="shared" si="0"/>
        <v>8.7918907146048971E-18</v>
      </c>
      <c r="Q16">
        <f t="shared" si="2"/>
        <v>337255359.09000582</v>
      </c>
      <c r="S16" s="7">
        <f>PSI!N9/Q16</f>
        <v>3.3138787310951657E-9</v>
      </c>
    </row>
    <row r="17" spans="4:20">
      <c r="D17" s="1" t="s">
        <v>89</v>
      </c>
      <c r="E17" s="1"/>
      <c r="F17" s="1"/>
      <c r="G17" s="1"/>
      <c r="H17" s="1"/>
      <c r="J17" s="1"/>
      <c r="K17" s="1">
        <v>0.05</v>
      </c>
      <c r="L17" s="7">
        <v>7.0571059371120696E-18</v>
      </c>
      <c r="O17" s="7">
        <f>K17*L17*303117.6102</f>
        <v>1.0695665432928211E-13</v>
      </c>
      <c r="P17">
        <f t="shared" si="0"/>
        <v>4.3906636500824756E-17</v>
      </c>
      <c r="Q17">
        <f t="shared" si="2"/>
        <v>150915871.33629262</v>
      </c>
      <c r="S17" s="7">
        <f>PSI!N10/Q17</f>
        <v>7.045788255905877E-9</v>
      </c>
    </row>
    <row r="18" spans="4:20">
      <c r="D18" s="1" t="s">
        <v>90</v>
      </c>
      <c r="E18" s="1"/>
      <c r="F18" s="1"/>
      <c r="G18" s="1" t="s">
        <v>90</v>
      </c>
      <c r="H18" s="1"/>
      <c r="J18" s="1"/>
      <c r="K18" s="1"/>
      <c r="L18" s="7"/>
    </row>
    <row r="19" spans="4:20">
      <c r="D19" s="1" t="s">
        <v>91</v>
      </c>
      <c r="E19" s="1"/>
      <c r="F19" s="1"/>
      <c r="G19" s="1"/>
      <c r="H19" s="1"/>
      <c r="J19" s="1"/>
      <c r="K19" s="1"/>
      <c r="L19" s="7"/>
    </row>
    <row r="20" spans="4:20">
      <c r="D20" s="1"/>
      <c r="E20" s="1"/>
      <c r="F20" s="1"/>
      <c r="G20" s="1"/>
      <c r="H20" s="1"/>
      <c r="I20" s="1"/>
      <c r="J20" s="1"/>
      <c r="K20" s="1"/>
      <c r="L20" s="7"/>
    </row>
    <row r="21" spans="4:20">
      <c r="K21" s="1"/>
      <c r="L21" s="7"/>
    </row>
    <row r="22" spans="4:20">
      <c r="J22" t="s">
        <v>14</v>
      </c>
      <c r="P22" s="1" t="s">
        <v>69</v>
      </c>
      <c r="Q22" s="1"/>
    </row>
    <row r="23" spans="4:20">
      <c r="J23" t="s">
        <v>72</v>
      </c>
      <c r="O23" s="17" t="s">
        <v>73</v>
      </c>
      <c r="P23" s="17"/>
      <c r="Q23" s="17"/>
      <c r="R23" s="17"/>
      <c r="S23" t="s">
        <v>74</v>
      </c>
    </row>
    <row r="24" spans="4:20">
      <c r="K24" s="1" t="s">
        <v>0</v>
      </c>
      <c r="L24" t="s">
        <v>77</v>
      </c>
      <c r="O24" s="1" t="s">
        <v>78</v>
      </c>
      <c r="P24" s="1" t="s">
        <v>79</v>
      </c>
      <c r="Q24" s="1" t="s">
        <v>54</v>
      </c>
      <c r="R24" s="1"/>
      <c r="S24" s="1" t="s">
        <v>80</v>
      </c>
    </row>
    <row r="25" spans="4:20">
      <c r="K25" s="1"/>
      <c r="L25" s="7"/>
      <c r="S25" s="7"/>
    </row>
    <row r="26" spans="4:20">
      <c r="K26" s="1"/>
      <c r="L26" s="7"/>
      <c r="S26" s="7"/>
    </row>
    <row r="27" spans="4:20">
      <c r="K27" s="1">
        <v>0.01</v>
      </c>
      <c r="L27" s="7">
        <v>8.9544347077691695E-21</v>
      </c>
      <c r="M27" s="7"/>
      <c r="O27" s="7">
        <f>K27*L27*303117.6102</f>
        <v>2.7142468493109259E-17</v>
      </c>
      <c r="P27">
        <f t="shared" ref="P27:P36" si="3">O27/2436.002</f>
        <v>1.1142219297483852E-20</v>
      </c>
      <c r="Q27">
        <f>P27^-0.5</f>
        <v>9473580484.0679131</v>
      </c>
      <c r="S27" s="7">
        <f>PSI!N14/Q27</f>
        <v>7.9162327820383108E-11</v>
      </c>
      <c r="T27" s="7">
        <f>AVERAGE(S25:S29)</f>
        <v>3.2643698544171618E-10</v>
      </c>
    </row>
    <row r="28" spans="4:20">
      <c r="K28" s="1">
        <v>2.5000000000000001E-2</v>
      </c>
      <c r="L28" s="7">
        <v>2.05582214156304E-20</v>
      </c>
      <c r="M28" s="7"/>
      <c r="O28">
        <f t="shared" ref="O28:O31" si="4">K28*L28*303117.6102</f>
        <v>1.557889736367087E-16</v>
      </c>
      <c r="P28">
        <f t="shared" si="3"/>
        <v>6.3952728132698042E-20</v>
      </c>
      <c r="Q28">
        <f t="shared" ref="Q28:Q36" si="5">P28^-0.5</f>
        <v>3954307716.1449919</v>
      </c>
      <c r="S28" s="7">
        <f>PSI!N15/Q28</f>
        <v>2.9706807172653007E-10</v>
      </c>
    </row>
    <row r="29" spans="4:20">
      <c r="K29" s="1">
        <v>0.05</v>
      </c>
      <c r="L29" s="7">
        <v>2.32851260288164E-20</v>
      </c>
      <c r="M29" s="7"/>
      <c r="O29">
        <f t="shared" si="4"/>
        <v>3.5290658775303219E-16</v>
      </c>
      <c r="P29">
        <f t="shared" si="3"/>
        <v>1.4487122250024105E-19</v>
      </c>
      <c r="Q29">
        <f t="shared" si="5"/>
        <v>2627295594.1325235</v>
      </c>
      <c r="S29" s="7">
        <f>PSI!N16/Q29</f>
        <v>6.0308055677823539E-10</v>
      </c>
    </row>
    <row r="30" spans="4:20">
      <c r="K30" s="1"/>
      <c r="L30" s="7"/>
      <c r="O30">
        <f t="shared" si="4"/>
        <v>0</v>
      </c>
      <c r="P30">
        <f t="shared" si="3"/>
        <v>0</v>
      </c>
      <c r="Q30" t="e">
        <f t="shared" si="5"/>
        <v>#DIV/0!</v>
      </c>
    </row>
    <row r="31" spans="4:20">
      <c r="K31" s="1"/>
      <c r="L31" s="7"/>
      <c r="O31">
        <f t="shared" si="4"/>
        <v>0</v>
      </c>
      <c r="P31">
        <f t="shared" si="3"/>
        <v>0</v>
      </c>
      <c r="Q31" t="e">
        <f t="shared" si="5"/>
        <v>#DIV/0!</v>
      </c>
      <c r="S31" t="s">
        <v>82</v>
      </c>
    </row>
    <row r="32" spans="4:20">
      <c r="J32" t="s">
        <v>84</v>
      </c>
      <c r="K32" s="1"/>
      <c r="M32" s="1"/>
      <c r="S32" s="7"/>
    </row>
    <row r="33" spans="10:20">
      <c r="J33" s="1"/>
      <c r="K33" s="1"/>
      <c r="M33" s="1"/>
      <c r="S33" s="7"/>
    </row>
    <row r="34" spans="10:20">
      <c r="J34" s="1"/>
      <c r="K34" s="1">
        <v>0.01</v>
      </c>
      <c r="L34" s="7">
        <v>2.5380520266210399E-20</v>
      </c>
      <c r="M34" s="1"/>
      <c r="O34" s="7">
        <f>K34*L34*303117.6102</f>
        <v>7.6932826487263632E-17</v>
      </c>
      <c r="P34">
        <f t="shared" ref="P34:P37" si="6">O34/2436.002</f>
        <v>3.1581594139604002E-20</v>
      </c>
      <c r="Q34">
        <f t="shared" ref="Q34:Q37" si="7">P34^-0.5</f>
        <v>5627078528.4885359</v>
      </c>
      <c r="S34" s="7">
        <f>PSI!N14/Q34</f>
        <v>1.3327531864283556E-10</v>
      </c>
      <c r="T34" s="7">
        <f>AVERAGE(S32:S36)</f>
        <v>3.8248727394764485E-10</v>
      </c>
    </row>
    <row r="35" spans="10:20">
      <c r="J35" s="1"/>
      <c r="K35" s="1">
        <v>2.5000000000000001E-2</v>
      </c>
      <c r="L35" s="7">
        <v>4.2180516261844E-20</v>
      </c>
      <c r="O35" s="7">
        <f>K35*L35*303117.6102</f>
        <v>3.1964143215730979E-16</v>
      </c>
      <c r="P35">
        <f t="shared" si="6"/>
        <v>1.3121558691549097E-19</v>
      </c>
      <c r="Q35">
        <f t="shared" si="7"/>
        <v>2760624171.9255185</v>
      </c>
      <c r="S35" s="7">
        <f>PSI!N15/Q35</f>
        <v>4.2551919243291515E-10</v>
      </c>
    </row>
    <row r="36" spans="10:20">
      <c r="J36" s="1"/>
      <c r="K36" s="1">
        <v>0.05</v>
      </c>
      <c r="L36" s="7">
        <v>2.21854262909356E-20</v>
      </c>
      <c r="O36" s="7">
        <f>K36*L36*303117.6102</f>
        <v>3.362396699288325E-16</v>
      </c>
      <c r="P36">
        <f t="shared" si="6"/>
        <v>1.3802930782849625E-19</v>
      </c>
      <c r="Q36">
        <f t="shared" si="7"/>
        <v>2691623707.906384</v>
      </c>
      <c r="S36" s="7">
        <f>PSI!N16/Q36</f>
        <v>5.8866731076718386E-10</v>
      </c>
    </row>
    <row r="37" spans="10:20">
      <c r="J37" s="1"/>
      <c r="K37" s="1"/>
      <c r="L37" s="7"/>
    </row>
    <row r="38" spans="10:20">
      <c r="N38" s="18"/>
      <c r="O38" s="19"/>
      <c r="P38" s="19"/>
    </row>
    <row r="40" spans="10:20">
      <c r="N40" s="18"/>
      <c r="O40" s="19"/>
      <c r="P40" s="19"/>
    </row>
    <row r="41" spans="10:20">
      <c r="J41" t="s">
        <v>7</v>
      </c>
      <c r="P41" s="1" t="s">
        <v>69</v>
      </c>
      <c r="Q41" s="1"/>
    </row>
    <row r="42" spans="10:20">
      <c r="J42" t="s">
        <v>72</v>
      </c>
      <c r="O42" s="17" t="s">
        <v>73</v>
      </c>
      <c r="P42" s="17"/>
      <c r="Q42" s="17"/>
      <c r="R42" s="17"/>
      <c r="S42" t="s">
        <v>74</v>
      </c>
    </row>
    <row r="43" spans="10:20">
      <c r="K43" s="1" t="s">
        <v>0</v>
      </c>
      <c r="L43" t="s">
        <v>77</v>
      </c>
      <c r="O43" s="1" t="s">
        <v>78</v>
      </c>
      <c r="P43" s="1" t="s">
        <v>79</v>
      </c>
      <c r="Q43" s="1" t="s">
        <v>54</v>
      </c>
      <c r="R43" s="1"/>
      <c r="S43" s="1" t="s">
        <v>80</v>
      </c>
    </row>
    <row r="44" spans="10:20">
      <c r="K44" s="1"/>
      <c r="L44" s="7"/>
      <c r="S44" s="7"/>
    </row>
    <row r="45" spans="10:20">
      <c r="K45" s="1"/>
      <c r="L45" s="7"/>
      <c r="S45" s="7"/>
    </row>
    <row r="46" spans="10:20">
      <c r="K46" s="1">
        <v>0.01</v>
      </c>
      <c r="L46" s="7">
        <v>1.1928033998996301E-20</v>
      </c>
      <c r="M46" s="7"/>
      <c r="O46" s="7">
        <f>K46*L46*303117.6102</f>
        <v>3.6155971601601077E-17</v>
      </c>
      <c r="P46">
        <f t="shared" ref="P46:P55" si="8">O46/2436.002</f>
        <v>1.4842340688390683E-20</v>
      </c>
      <c r="Q46">
        <f>P46^-0.5</f>
        <v>8208216482.6809883</v>
      </c>
      <c r="S46" s="7">
        <f>PSI!N20/Q46</f>
        <v>8.6926648457078236E-11</v>
      </c>
      <c r="T46" s="7">
        <f>AVERAGE(S44:S48)</f>
        <v>1.9597172112682408E-10</v>
      </c>
    </row>
    <row r="47" spans="10:20">
      <c r="K47" s="1">
        <v>2.5000000000000001E-2</v>
      </c>
      <c r="L47" s="7">
        <v>9.6579345400863197E-21</v>
      </c>
      <c r="M47" s="7"/>
      <c r="O47">
        <f t="shared" ref="O47:O50" si="9">K47*L47*303117.6102</f>
        <v>7.3187250931475039E-17</v>
      </c>
      <c r="P47">
        <f t="shared" si="8"/>
        <v>3.0044002809306003E-20</v>
      </c>
      <c r="Q47">
        <f t="shared" ref="Q47:Q55" si="10">P47^-0.5</f>
        <v>5769273171.797472</v>
      </c>
      <c r="S47" s="7">
        <f>PSI!N21/Q47</f>
        <v>1.7533532701608999E-10</v>
      </c>
    </row>
    <row r="48" spans="10:20">
      <c r="K48" s="1">
        <v>0.05</v>
      </c>
      <c r="L48" s="7">
        <v>2.0338642520599799E-20</v>
      </c>
      <c r="M48" s="7"/>
      <c r="O48">
        <f t="shared" si="9"/>
        <v>3.0825003577781574E-16</v>
      </c>
      <c r="P48">
        <f t="shared" si="8"/>
        <v>1.2653931966304451E-19</v>
      </c>
      <c r="Q48">
        <f t="shared" si="10"/>
        <v>2811170925.0812306</v>
      </c>
      <c r="S48" s="7">
        <f>PSI!N22/Q48</f>
        <v>3.2565318790730393E-10</v>
      </c>
    </row>
    <row r="49" spans="10:20">
      <c r="K49" s="1"/>
      <c r="L49" s="7"/>
      <c r="O49">
        <f t="shared" si="9"/>
        <v>0</v>
      </c>
      <c r="P49">
        <f t="shared" si="8"/>
        <v>0</v>
      </c>
      <c r="Q49" t="e">
        <f t="shared" si="10"/>
        <v>#DIV/0!</v>
      </c>
    </row>
    <row r="50" spans="10:20">
      <c r="K50" s="1"/>
      <c r="L50" s="7"/>
      <c r="O50">
        <f t="shared" si="9"/>
        <v>0</v>
      </c>
      <c r="P50">
        <f t="shared" si="8"/>
        <v>0</v>
      </c>
      <c r="Q50" t="e">
        <f t="shared" si="10"/>
        <v>#DIV/0!</v>
      </c>
      <c r="S50" t="s">
        <v>82</v>
      </c>
    </row>
    <row r="51" spans="10:20">
      <c r="J51" t="s">
        <v>84</v>
      </c>
      <c r="K51" s="1"/>
      <c r="M51" s="1"/>
      <c r="S51" s="7"/>
    </row>
    <row r="52" spans="10:20">
      <c r="J52" s="1"/>
      <c r="K52" s="1"/>
      <c r="M52" s="1"/>
      <c r="S52" s="7"/>
    </row>
    <row r="53" spans="10:20">
      <c r="J53" s="1"/>
      <c r="K53" s="1">
        <v>0.01</v>
      </c>
      <c r="L53" s="7">
        <v>1.6390643461625901E-20</v>
      </c>
      <c r="M53" s="1"/>
      <c r="O53" s="7">
        <f>K53*L53*303117.6102</f>
        <v>4.9682926757282981E-17</v>
      </c>
      <c r="P53">
        <f t="shared" ref="P53:P56" si="11">O53/2436.002</f>
        <v>2.0395273385359692E-20</v>
      </c>
      <c r="Q53">
        <f t="shared" ref="Q53:Q56" si="12">P53^-0.5</f>
        <v>7002211662.1371574</v>
      </c>
      <c r="S53" s="7">
        <f>PSI!N20/Q53</f>
        <v>1.0189819775197041E-10</v>
      </c>
      <c r="T53" s="7">
        <f>AVERAGE(S51:S55)</f>
        <v>1.6230146205694813E-10</v>
      </c>
    </row>
    <row r="54" spans="10:20">
      <c r="J54" s="1"/>
      <c r="K54" s="1">
        <v>2.5000000000000001E-2</v>
      </c>
      <c r="L54" s="7">
        <v>1.13892183379521E-20</v>
      </c>
      <c r="O54" s="7">
        <f>K54*L54*303117.6102</f>
        <v>8.6306816116151404E-17</v>
      </c>
      <c r="P54">
        <f t="shared" si="11"/>
        <v>3.542969838126217E-20</v>
      </c>
      <c r="Q54">
        <f t="shared" si="12"/>
        <v>5312711985.5401268</v>
      </c>
      <c r="S54" s="7">
        <f>PSI!N21/Q54</f>
        <v>1.9040320668153493E-10</v>
      </c>
    </row>
    <row r="55" spans="10:20">
      <c r="J55" s="1"/>
      <c r="K55" s="1">
        <v>0.05</v>
      </c>
      <c r="L55" s="7">
        <v>7.2629035320070593E-21</v>
      </c>
      <c r="O55" s="7">
        <f>K55*L55*303117.6102</f>
        <v>1.1007569808675595E-16</v>
      </c>
      <c r="P55">
        <f t="shared" si="11"/>
        <v>4.5187031080744578E-20</v>
      </c>
      <c r="Q55">
        <f t="shared" si="12"/>
        <v>4704279273.2778234</v>
      </c>
      <c r="S55" s="7">
        <f>PSI!N22/Q55</f>
        <v>1.9460298173733914E-10</v>
      </c>
    </row>
    <row r="56" spans="10:20">
      <c r="J56" s="1"/>
      <c r="K56" s="1"/>
      <c r="L56" s="7"/>
    </row>
    <row r="57" spans="10:20">
      <c r="N57" s="19" t="e">
        <f>N55/M29</f>
        <v>#DIV/0!</v>
      </c>
      <c r="O57" s="19"/>
      <c r="P57" s="19"/>
      <c r="Q57" s="19"/>
    </row>
    <row r="59" spans="10:20">
      <c r="N59" s="18" t="e">
        <f>L54/N57</f>
        <v>#DIV/0!</v>
      </c>
      <c r="O59" s="19"/>
      <c r="P59" s="19"/>
      <c r="Q59" s="19"/>
    </row>
    <row r="61" spans="10:20">
      <c r="N61" s="18" t="e">
        <f>N59/Q8</f>
        <v>#DIV/0!</v>
      </c>
      <c r="O61" s="19"/>
      <c r="P61" s="19"/>
      <c r="Q61" s="19"/>
    </row>
    <row r="64" spans="10:20">
      <c r="L64" t="s">
        <v>92</v>
      </c>
    </row>
    <row r="65" spans="12:17">
      <c r="L65">
        <f>0.00000001677</f>
        <v>1.6770000000000001E-8</v>
      </c>
      <c r="M65" t="s">
        <v>93</v>
      </c>
      <c r="N65">
        <v>96485.331999999995</v>
      </c>
      <c r="O65" s="7">
        <v>3.8479999999999999</v>
      </c>
      <c r="P65" s="7">
        <v>1.9999999999999999E-6</v>
      </c>
      <c r="Q65" s="7">
        <f>L7^0.5</f>
        <v>0</v>
      </c>
    </row>
    <row r="66" spans="12:17">
      <c r="N66" s="18">
        <f>N65*O65*P65*Q65</f>
        <v>0</v>
      </c>
      <c r="O66" s="19"/>
      <c r="P66" s="19"/>
      <c r="Q66" s="19"/>
    </row>
    <row r="68" spans="12:17">
      <c r="N68" s="18" t="e">
        <f>N66/M29</f>
        <v>#DIV/0!</v>
      </c>
      <c r="O68" s="19"/>
      <c r="P68" s="19"/>
      <c r="Q68" s="19"/>
    </row>
    <row r="70" spans="12:17">
      <c r="N70" s="18" t="e">
        <f>L65/N68</f>
        <v>#DIV/0!</v>
      </c>
      <c r="O70" s="19"/>
      <c r="P70" s="19"/>
      <c r="Q70" s="19"/>
    </row>
    <row r="72" spans="12:17">
      <c r="N72" s="18" t="e">
        <f>N70/Q7</f>
        <v>#DIV/0!</v>
      </c>
      <c r="O72" s="19"/>
      <c r="P72" s="19"/>
      <c r="Q72" s="19"/>
    </row>
    <row r="74" spans="12:17">
      <c r="L74" t="s">
        <v>94</v>
      </c>
    </row>
    <row r="75" spans="12:17">
      <c r="L75">
        <f>0.00000001993</f>
        <v>1.993E-8</v>
      </c>
      <c r="M75" t="s">
        <v>93</v>
      </c>
      <c r="N75">
        <v>96485.331999999995</v>
      </c>
      <c r="O75" s="7">
        <v>3.8479999999999999</v>
      </c>
      <c r="P75" s="7">
        <v>1.9999999999999999E-6</v>
      </c>
      <c r="Q75" s="7">
        <f>L6^0.5</f>
        <v>0</v>
      </c>
    </row>
    <row r="77" spans="12:17">
      <c r="N77" s="18">
        <f>N75*O75*P75*Q75</f>
        <v>0</v>
      </c>
      <c r="O77" s="19"/>
      <c r="P77" s="19"/>
      <c r="Q77" s="19"/>
    </row>
    <row r="79" spans="12:17">
      <c r="N79" s="18" t="e">
        <f>N77/M29</f>
        <v>#DIV/0!</v>
      </c>
      <c r="O79" s="19"/>
      <c r="P79" s="19"/>
      <c r="Q79" s="19"/>
    </row>
    <row r="81" spans="14:17">
      <c r="N81" s="18" t="e">
        <f>L75/N79</f>
        <v>#DIV/0!</v>
      </c>
      <c r="O81" s="19"/>
      <c r="P81" s="19"/>
      <c r="Q81" s="19"/>
    </row>
    <row r="83" spans="14:17">
      <c r="N83" s="18" t="e">
        <f>N81/Q6</f>
        <v>#DIV/0!</v>
      </c>
      <c r="O83" s="19"/>
      <c r="P83" s="19"/>
      <c r="Q83" s="19"/>
    </row>
  </sheetData>
  <mergeCells count="16">
    <mergeCell ref="N57:Q57"/>
    <mergeCell ref="N59:Q59"/>
    <mergeCell ref="N61:Q61"/>
    <mergeCell ref="N66:Q66"/>
    <mergeCell ref="N68:Q68"/>
    <mergeCell ref="N83:Q83"/>
    <mergeCell ref="N70:Q70"/>
    <mergeCell ref="N72:Q72"/>
    <mergeCell ref="N77:Q77"/>
    <mergeCell ref="N79:Q79"/>
    <mergeCell ref="N81:Q81"/>
    <mergeCell ref="O4:R4"/>
    <mergeCell ref="N38:P38"/>
    <mergeCell ref="N40:P40"/>
    <mergeCell ref="O23:R23"/>
    <mergeCell ref="O42:R4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3C40A-CA23-6A4B-B750-7990BED9B4C5}">
  <dimension ref="B4:F26"/>
  <sheetViews>
    <sheetView workbookViewId="0">
      <selection activeCell="F5" sqref="F5:F26"/>
    </sheetView>
  </sheetViews>
  <sheetFormatPr defaultColWidth="11" defaultRowHeight="15.95"/>
  <cols>
    <col min="3" max="3" width="13" customWidth="1"/>
    <col min="4" max="4" width="13.375" customWidth="1"/>
    <col min="6" max="6" width="26.625" customWidth="1"/>
  </cols>
  <sheetData>
    <row r="4" spans="2:6">
      <c r="B4" s="1" t="s">
        <v>0</v>
      </c>
      <c r="C4" t="s">
        <v>95</v>
      </c>
      <c r="D4" t="s">
        <v>96</v>
      </c>
      <c r="E4" t="s">
        <v>97</v>
      </c>
      <c r="F4" t="s">
        <v>98</v>
      </c>
    </row>
    <row r="5" spans="2:6">
      <c r="B5" s="1">
        <v>0.05</v>
      </c>
      <c r="C5" s="7">
        <v>5.0000000000000004E-6</v>
      </c>
      <c r="D5" s="7">
        <f>B5*C5</f>
        <v>2.5000000000000004E-7</v>
      </c>
      <c r="E5">
        <v>0.16070000000000001</v>
      </c>
      <c r="F5" s="7">
        <f>E5/D5</f>
        <v>642799.99999999988</v>
      </c>
    </row>
    <row r="6" spans="2:6">
      <c r="B6" s="1">
        <v>0.1</v>
      </c>
      <c r="C6" s="7">
        <v>5.0000000000000004E-6</v>
      </c>
      <c r="D6" s="7">
        <f t="shared" ref="D6:D26" si="0">B6*C6</f>
        <v>5.0000000000000008E-7</v>
      </c>
      <c r="E6">
        <v>0.1779</v>
      </c>
      <c r="F6" s="7">
        <f t="shared" ref="F6:F26" si="1">E6/D6</f>
        <v>355799.99999999994</v>
      </c>
    </row>
    <row r="7" spans="2:6">
      <c r="B7" s="1">
        <v>0.2</v>
      </c>
      <c r="C7" s="7">
        <v>5.0000000000000004E-6</v>
      </c>
      <c r="D7" s="7">
        <f t="shared" si="0"/>
        <v>1.0000000000000002E-6</v>
      </c>
      <c r="E7">
        <v>0.22409999999999999</v>
      </c>
      <c r="F7" s="7">
        <f t="shared" si="1"/>
        <v>224099.99999999994</v>
      </c>
    </row>
    <row r="8" spans="2:6">
      <c r="B8" s="1">
        <v>0.3</v>
      </c>
      <c r="C8" s="7">
        <v>5.0000000000000004E-6</v>
      </c>
      <c r="D8" s="7">
        <f t="shared" si="0"/>
        <v>1.5E-6</v>
      </c>
      <c r="E8">
        <v>0.27360000000000001</v>
      </c>
      <c r="F8" s="7">
        <f t="shared" si="1"/>
        <v>182400</v>
      </c>
    </row>
    <row r="9" spans="2:6">
      <c r="B9" s="1">
        <v>0.4</v>
      </c>
      <c r="C9" s="7">
        <v>5.0000000000000004E-6</v>
      </c>
      <c r="D9" s="7">
        <f t="shared" si="0"/>
        <v>2.0000000000000003E-6</v>
      </c>
      <c r="E9">
        <v>0.31490000000000001</v>
      </c>
      <c r="F9" s="7">
        <f t="shared" si="1"/>
        <v>157449.99999999997</v>
      </c>
    </row>
    <row r="10" spans="2:6">
      <c r="B10" s="1">
        <v>0.5</v>
      </c>
      <c r="C10" s="7">
        <v>5.0000000000000004E-6</v>
      </c>
      <c r="D10" s="7">
        <f t="shared" si="0"/>
        <v>2.5000000000000002E-6</v>
      </c>
      <c r="E10">
        <v>0.35680000000000001</v>
      </c>
      <c r="F10" s="7">
        <f t="shared" si="1"/>
        <v>142720</v>
      </c>
    </row>
    <row r="11" spans="2:6">
      <c r="B11" s="1">
        <v>0.6</v>
      </c>
      <c r="C11" s="7">
        <v>5.0000000000000004E-6</v>
      </c>
      <c r="D11" s="7">
        <f t="shared" si="0"/>
        <v>3.0000000000000001E-6</v>
      </c>
      <c r="E11">
        <v>0.3659</v>
      </c>
      <c r="F11" s="7">
        <f t="shared" si="1"/>
        <v>121966.66666666667</v>
      </c>
    </row>
    <row r="12" spans="2:6">
      <c r="B12" s="1">
        <v>0.7</v>
      </c>
      <c r="C12" s="7">
        <v>5.0000000000000004E-6</v>
      </c>
      <c r="D12" s="7">
        <f t="shared" si="0"/>
        <v>3.4999999999999999E-6</v>
      </c>
      <c r="E12">
        <v>0.36530000000000001</v>
      </c>
      <c r="F12" s="7">
        <f t="shared" si="1"/>
        <v>104371.42857142858</v>
      </c>
    </row>
    <row r="13" spans="2:6">
      <c r="B13" s="1">
        <v>0.8</v>
      </c>
      <c r="C13" s="7">
        <v>5.0000000000000004E-6</v>
      </c>
      <c r="D13" s="7">
        <f t="shared" si="0"/>
        <v>4.0000000000000007E-6</v>
      </c>
      <c r="E13">
        <v>0.3755</v>
      </c>
      <c r="F13" s="7">
        <f t="shared" si="1"/>
        <v>93874.999999999985</v>
      </c>
    </row>
    <row r="14" spans="2:6">
      <c r="B14" s="1">
        <v>0.9</v>
      </c>
      <c r="C14" s="7">
        <v>5.0000000000000004E-6</v>
      </c>
      <c r="D14" s="7">
        <f t="shared" si="0"/>
        <v>4.5000000000000001E-6</v>
      </c>
      <c r="E14">
        <v>0.41970000000000002</v>
      </c>
      <c r="F14" s="7">
        <f t="shared" si="1"/>
        <v>93266.666666666672</v>
      </c>
    </row>
    <row r="15" spans="2:6">
      <c r="B15" s="1">
        <v>1</v>
      </c>
      <c r="C15" s="7">
        <v>5.0000000000000004E-6</v>
      </c>
      <c r="D15" s="7">
        <f t="shared" si="0"/>
        <v>5.0000000000000004E-6</v>
      </c>
      <c r="E15">
        <v>0.39779999999999999</v>
      </c>
      <c r="F15" s="7">
        <f t="shared" si="1"/>
        <v>79559.999999999985</v>
      </c>
    </row>
    <row r="16" spans="2:6">
      <c r="B16" s="1">
        <v>1.2</v>
      </c>
      <c r="C16" s="7">
        <v>5.0000000000000004E-6</v>
      </c>
      <c r="D16" s="7">
        <f t="shared" si="0"/>
        <v>6.0000000000000002E-6</v>
      </c>
      <c r="E16">
        <v>0.44500000000000001</v>
      </c>
      <c r="F16" s="7">
        <f t="shared" si="1"/>
        <v>74166.666666666672</v>
      </c>
    </row>
    <row r="17" spans="2:6">
      <c r="B17" s="1">
        <v>1.4</v>
      </c>
      <c r="C17" s="7">
        <v>5.0000000000000004E-6</v>
      </c>
      <c r="D17" s="7">
        <f t="shared" si="0"/>
        <v>6.9999999999999999E-6</v>
      </c>
      <c r="E17">
        <v>0.52539999999999998</v>
      </c>
      <c r="F17" s="7">
        <f t="shared" si="1"/>
        <v>75057.142857142855</v>
      </c>
    </row>
    <row r="18" spans="2:6">
      <c r="B18" s="1">
        <v>1.6</v>
      </c>
      <c r="C18" s="7">
        <v>5.0000000000000004E-6</v>
      </c>
      <c r="D18" s="7">
        <f t="shared" si="0"/>
        <v>8.0000000000000013E-6</v>
      </c>
      <c r="E18">
        <v>0.44059999999999999</v>
      </c>
      <c r="F18" s="7">
        <f t="shared" si="1"/>
        <v>55074.999999999993</v>
      </c>
    </row>
    <row r="19" spans="2:6">
      <c r="B19" s="1">
        <v>1.8</v>
      </c>
      <c r="C19" s="7">
        <v>5.0000000000000004E-6</v>
      </c>
      <c r="D19" s="7">
        <f t="shared" si="0"/>
        <v>9.0000000000000002E-6</v>
      </c>
      <c r="E19">
        <v>0.56779999999999997</v>
      </c>
      <c r="F19" s="7">
        <f t="shared" si="1"/>
        <v>63088.888888888883</v>
      </c>
    </row>
    <row r="20" spans="2:6">
      <c r="B20" s="1">
        <v>2</v>
      </c>
      <c r="C20" s="7">
        <v>5.0000000000000004E-6</v>
      </c>
      <c r="D20" s="7">
        <f t="shared" si="0"/>
        <v>1.0000000000000001E-5</v>
      </c>
      <c r="E20">
        <v>0.50160000000000005</v>
      </c>
      <c r="F20" s="7">
        <f t="shared" si="1"/>
        <v>50160</v>
      </c>
    </row>
    <row r="21" spans="2:6">
      <c r="B21" s="1">
        <v>2.5</v>
      </c>
      <c r="C21" s="7">
        <v>5.0000000000000004E-6</v>
      </c>
      <c r="D21" s="7">
        <f t="shared" si="0"/>
        <v>1.2500000000000001E-5</v>
      </c>
      <c r="E21">
        <v>0.6673</v>
      </c>
      <c r="F21" s="7">
        <f t="shared" si="1"/>
        <v>53384</v>
      </c>
    </row>
    <row r="22" spans="2:6">
      <c r="B22" s="1">
        <v>3</v>
      </c>
      <c r="C22" s="7">
        <v>5.0000000000000004E-6</v>
      </c>
      <c r="D22" s="7">
        <f t="shared" si="0"/>
        <v>1.5000000000000002E-5</v>
      </c>
      <c r="E22">
        <v>0.67689999999999995</v>
      </c>
      <c r="F22" s="7">
        <f t="shared" si="1"/>
        <v>45126.666666666657</v>
      </c>
    </row>
    <row r="23" spans="2:6">
      <c r="B23" s="1">
        <v>4</v>
      </c>
      <c r="C23" s="7">
        <v>5.0000000000000004E-6</v>
      </c>
      <c r="D23" s="7">
        <f t="shared" si="0"/>
        <v>2.0000000000000002E-5</v>
      </c>
      <c r="E23">
        <v>0.80479999999999996</v>
      </c>
      <c r="F23" s="7">
        <f t="shared" si="1"/>
        <v>40239.999999999993</v>
      </c>
    </row>
    <row r="24" spans="2:6">
      <c r="B24" s="1">
        <v>5</v>
      </c>
      <c r="C24" s="7">
        <v>5.0000000000000004E-6</v>
      </c>
      <c r="D24" s="7">
        <f t="shared" si="0"/>
        <v>2.5000000000000001E-5</v>
      </c>
      <c r="E24">
        <v>0.74729999999999996</v>
      </c>
      <c r="F24" s="7">
        <f t="shared" si="1"/>
        <v>29891.999999999996</v>
      </c>
    </row>
    <row r="25" spans="2:6">
      <c r="B25" s="1">
        <v>6</v>
      </c>
      <c r="C25" s="7">
        <v>5.0000000000000004E-6</v>
      </c>
      <c r="D25" s="7">
        <f t="shared" si="0"/>
        <v>3.0000000000000004E-5</v>
      </c>
      <c r="E25">
        <v>0.50029999999999997</v>
      </c>
      <c r="F25" s="7">
        <f t="shared" si="1"/>
        <v>16676.666666666664</v>
      </c>
    </row>
    <row r="26" spans="2:6">
      <c r="B26" s="1">
        <v>7</v>
      </c>
      <c r="C26" s="7">
        <v>5.0000000000000004E-6</v>
      </c>
      <c r="D26" s="7">
        <f t="shared" si="0"/>
        <v>3.5000000000000004E-5</v>
      </c>
      <c r="E26">
        <v>0.69059999999999999</v>
      </c>
      <c r="F26" s="7">
        <f t="shared" si="1"/>
        <v>19731.428571428569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84E35-941A-9C46-BA27-8955E23D8B5F}">
  <dimension ref="C5:G27"/>
  <sheetViews>
    <sheetView workbookViewId="0">
      <selection activeCell="G6" sqref="G6:G27"/>
    </sheetView>
  </sheetViews>
  <sheetFormatPr defaultColWidth="11" defaultRowHeight="15.95"/>
  <cols>
    <col min="4" max="4" width="15" customWidth="1"/>
    <col min="5" max="5" width="14.625" customWidth="1"/>
    <col min="7" max="7" width="26.125" customWidth="1"/>
  </cols>
  <sheetData>
    <row r="5" spans="3:7">
      <c r="C5" s="1" t="s">
        <v>0</v>
      </c>
      <c r="D5" t="s">
        <v>95</v>
      </c>
      <c r="E5" t="s">
        <v>96</v>
      </c>
      <c r="F5" t="s">
        <v>97</v>
      </c>
      <c r="G5" t="s">
        <v>98</v>
      </c>
    </row>
    <row r="6" spans="3:7">
      <c r="C6" s="1">
        <v>0.05</v>
      </c>
      <c r="D6" s="7">
        <v>5.0000000000000004E-6</v>
      </c>
      <c r="E6" s="7">
        <f>C6*D6</f>
        <v>2.5000000000000004E-7</v>
      </c>
      <c r="F6">
        <v>-0.1358</v>
      </c>
      <c r="G6" s="7">
        <f>F6/E6</f>
        <v>-543199.99999999988</v>
      </c>
    </row>
    <row r="7" spans="3:7">
      <c r="C7" s="1">
        <v>0.1</v>
      </c>
      <c r="D7" s="7">
        <v>5.0000000000000004E-6</v>
      </c>
      <c r="E7" s="7">
        <f t="shared" ref="E7:E27" si="0">C7*D7</f>
        <v>5.0000000000000008E-7</v>
      </c>
      <c r="F7">
        <v>-0.19650000000000001</v>
      </c>
      <c r="G7" s="7">
        <f t="shared" ref="G7:G27" si="1">F7/E7</f>
        <v>-392999.99999999994</v>
      </c>
    </row>
    <row r="8" spans="3:7">
      <c r="C8" s="1">
        <v>0.2</v>
      </c>
      <c r="D8" s="7">
        <v>5.0000000000000004E-6</v>
      </c>
      <c r="E8" s="7">
        <f t="shared" si="0"/>
        <v>1.0000000000000002E-6</v>
      </c>
      <c r="F8">
        <v>-0.26429999999999998</v>
      </c>
      <c r="G8" s="7">
        <f t="shared" si="1"/>
        <v>-264299.99999999994</v>
      </c>
    </row>
    <row r="9" spans="3:7">
      <c r="C9" s="1">
        <v>0.3</v>
      </c>
      <c r="D9" s="7">
        <v>5.0000000000000004E-6</v>
      </c>
      <c r="E9" s="7">
        <f t="shared" si="0"/>
        <v>1.5E-6</v>
      </c>
      <c r="F9">
        <v>-0.27779999999999999</v>
      </c>
      <c r="G9" s="7">
        <f t="shared" si="1"/>
        <v>-185200</v>
      </c>
    </row>
    <row r="10" spans="3:7">
      <c r="C10" s="1">
        <v>0.4</v>
      </c>
      <c r="D10" s="7">
        <v>5.0000000000000004E-6</v>
      </c>
      <c r="E10" s="7">
        <f t="shared" si="0"/>
        <v>2.0000000000000003E-6</v>
      </c>
      <c r="F10">
        <v>-0.37519999999999998</v>
      </c>
      <c r="G10" s="7">
        <f t="shared" si="1"/>
        <v>-187599.99999999997</v>
      </c>
    </row>
    <row r="11" spans="3:7">
      <c r="C11" s="1">
        <v>0.5</v>
      </c>
      <c r="D11" s="7">
        <v>5.0000000000000004E-6</v>
      </c>
      <c r="E11" s="7">
        <f t="shared" si="0"/>
        <v>2.5000000000000002E-6</v>
      </c>
      <c r="F11">
        <v>-0.4002</v>
      </c>
      <c r="G11" s="7">
        <f t="shared" si="1"/>
        <v>-160080</v>
      </c>
    </row>
    <row r="12" spans="3:7">
      <c r="C12" s="1">
        <v>0.6</v>
      </c>
      <c r="D12" s="7">
        <v>5.0000000000000004E-6</v>
      </c>
      <c r="E12" s="7">
        <f t="shared" si="0"/>
        <v>3.0000000000000001E-6</v>
      </c>
      <c r="F12">
        <v>-0.41060000000000002</v>
      </c>
      <c r="G12" s="7">
        <f t="shared" si="1"/>
        <v>-136866.66666666666</v>
      </c>
    </row>
    <row r="13" spans="3:7">
      <c r="C13" s="1">
        <v>0.7</v>
      </c>
      <c r="D13" s="7">
        <v>5.0000000000000004E-6</v>
      </c>
      <c r="E13" s="7">
        <f t="shared" si="0"/>
        <v>3.4999999999999999E-6</v>
      </c>
      <c r="F13">
        <v>-0.48530000000000001</v>
      </c>
      <c r="G13" s="7">
        <f t="shared" si="1"/>
        <v>-138657.14285714287</v>
      </c>
    </row>
    <row r="14" spans="3:7">
      <c r="C14" s="1">
        <v>0.8</v>
      </c>
      <c r="D14" s="7">
        <v>5.0000000000000004E-6</v>
      </c>
      <c r="E14" s="7">
        <f t="shared" si="0"/>
        <v>4.0000000000000007E-6</v>
      </c>
      <c r="F14">
        <v>-0.48599999999999999</v>
      </c>
      <c r="G14" s="7">
        <f t="shared" si="1"/>
        <v>-121499.99999999997</v>
      </c>
    </row>
    <row r="15" spans="3:7">
      <c r="C15" s="1">
        <v>0.9</v>
      </c>
      <c r="D15" s="7">
        <v>5.0000000000000004E-6</v>
      </c>
      <c r="E15" s="7">
        <f t="shared" si="0"/>
        <v>4.5000000000000001E-6</v>
      </c>
      <c r="F15">
        <v>-0.47799999999999998</v>
      </c>
      <c r="G15" s="7">
        <f t="shared" si="1"/>
        <v>-106222.22222222222</v>
      </c>
    </row>
    <row r="16" spans="3:7">
      <c r="C16" s="1">
        <v>1</v>
      </c>
      <c r="D16" s="7">
        <v>5.0000000000000004E-6</v>
      </c>
      <c r="E16" s="7">
        <f t="shared" si="0"/>
        <v>5.0000000000000004E-6</v>
      </c>
      <c r="F16">
        <v>-0.47620000000000001</v>
      </c>
      <c r="G16" s="7">
        <f t="shared" si="1"/>
        <v>-95240</v>
      </c>
    </row>
    <row r="17" spans="3:7">
      <c r="C17" s="1">
        <v>1.2</v>
      </c>
      <c r="D17" s="7">
        <v>5.0000000000000004E-6</v>
      </c>
      <c r="E17" s="7">
        <f t="shared" si="0"/>
        <v>6.0000000000000002E-6</v>
      </c>
      <c r="F17">
        <v>-0.57499999999999996</v>
      </c>
      <c r="G17" s="7">
        <f t="shared" si="1"/>
        <v>-95833.333333333328</v>
      </c>
    </row>
    <row r="18" spans="3:7">
      <c r="C18" s="1">
        <v>1.4</v>
      </c>
      <c r="D18" s="7">
        <v>5.0000000000000004E-6</v>
      </c>
      <c r="E18" s="7">
        <f t="shared" si="0"/>
        <v>6.9999999999999999E-6</v>
      </c>
      <c r="F18">
        <v>-0.75229999999999997</v>
      </c>
      <c r="G18" s="7">
        <f t="shared" si="1"/>
        <v>-107471.42857142857</v>
      </c>
    </row>
    <row r="19" spans="3:7">
      <c r="C19" s="1">
        <v>1.6</v>
      </c>
      <c r="D19" s="7">
        <v>5.0000000000000004E-6</v>
      </c>
      <c r="E19" s="7">
        <f t="shared" si="0"/>
        <v>8.0000000000000013E-6</v>
      </c>
      <c r="F19">
        <v>-0.57210000000000005</v>
      </c>
      <c r="G19" s="7">
        <f t="shared" si="1"/>
        <v>-71512.5</v>
      </c>
    </row>
    <row r="20" spans="3:7">
      <c r="C20" s="1">
        <v>1.8</v>
      </c>
      <c r="D20" s="7">
        <v>5.0000000000000004E-6</v>
      </c>
      <c r="E20" s="7">
        <f t="shared" si="0"/>
        <v>9.0000000000000002E-6</v>
      </c>
      <c r="F20">
        <v>-0.68149999999999999</v>
      </c>
      <c r="G20" s="7">
        <f t="shared" si="1"/>
        <v>-75722.222222222219</v>
      </c>
    </row>
    <row r="21" spans="3:7">
      <c r="C21" s="1">
        <v>2</v>
      </c>
      <c r="D21" s="7">
        <v>5.0000000000000004E-6</v>
      </c>
      <c r="E21" s="7">
        <f t="shared" si="0"/>
        <v>1.0000000000000001E-5</v>
      </c>
      <c r="F21">
        <v>-0.65559999999999996</v>
      </c>
      <c r="G21" s="7">
        <f t="shared" si="1"/>
        <v>-65559.999999999985</v>
      </c>
    </row>
    <row r="22" spans="3:7">
      <c r="C22" s="1">
        <v>2.5</v>
      </c>
      <c r="D22" s="7">
        <v>5.0000000000000004E-6</v>
      </c>
      <c r="E22" s="7">
        <f t="shared" si="0"/>
        <v>1.2500000000000001E-5</v>
      </c>
      <c r="F22">
        <v>-0.67149999999999999</v>
      </c>
      <c r="G22" s="7">
        <f t="shared" si="1"/>
        <v>-53719.999999999993</v>
      </c>
    </row>
    <row r="23" spans="3:7">
      <c r="C23" s="1">
        <v>3</v>
      </c>
      <c r="D23" s="7">
        <v>5.0000000000000004E-6</v>
      </c>
      <c r="E23" s="7">
        <f t="shared" si="0"/>
        <v>1.5000000000000002E-5</v>
      </c>
      <c r="F23">
        <v>-0.47070000000000001</v>
      </c>
      <c r="G23" s="7">
        <f t="shared" si="1"/>
        <v>-31379.999999999996</v>
      </c>
    </row>
    <row r="24" spans="3:7">
      <c r="C24" s="1">
        <v>4</v>
      </c>
      <c r="D24" s="7">
        <v>5.0000000000000004E-6</v>
      </c>
      <c r="E24" s="7">
        <f t="shared" si="0"/>
        <v>2.0000000000000002E-5</v>
      </c>
      <c r="F24">
        <v>-0.58450000000000002</v>
      </c>
      <c r="G24" s="7">
        <f t="shared" si="1"/>
        <v>-29225</v>
      </c>
    </row>
    <row r="25" spans="3:7">
      <c r="C25" s="1">
        <v>5</v>
      </c>
      <c r="D25" s="7">
        <v>5.0000000000000004E-6</v>
      </c>
      <c r="E25" s="7">
        <f t="shared" si="0"/>
        <v>2.5000000000000001E-5</v>
      </c>
      <c r="F25">
        <v>-0.5958</v>
      </c>
      <c r="G25" s="7">
        <f t="shared" si="1"/>
        <v>-23832</v>
      </c>
    </row>
    <row r="26" spans="3:7">
      <c r="C26" s="1">
        <v>6</v>
      </c>
      <c r="D26" s="7">
        <v>5.0000000000000004E-6</v>
      </c>
      <c r="E26" s="7">
        <f t="shared" si="0"/>
        <v>3.0000000000000004E-5</v>
      </c>
      <c r="F26">
        <v>-0.47020000000000001</v>
      </c>
      <c r="G26" s="7">
        <f t="shared" si="1"/>
        <v>-15673.333333333332</v>
      </c>
    </row>
    <row r="27" spans="3:7">
      <c r="C27" s="1">
        <v>7</v>
      </c>
      <c r="D27" s="7">
        <v>5.0000000000000004E-6</v>
      </c>
      <c r="E27" s="7">
        <f t="shared" si="0"/>
        <v>3.5000000000000004E-5</v>
      </c>
      <c r="F27">
        <v>-0.74619999999999997</v>
      </c>
      <c r="G27" s="7">
        <f t="shared" si="1"/>
        <v>-21319.999999999996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81140-3360-E148-8724-8EC0368F5806}">
  <dimension ref="A1:J26"/>
  <sheetViews>
    <sheetView workbookViewId="0">
      <selection activeCell="E36" sqref="E36"/>
    </sheetView>
  </sheetViews>
  <sheetFormatPr defaultColWidth="11" defaultRowHeight="15.95"/>
  <sheetData>
    <row r="1" spans="1:10">
      <c r="J1" s="1" t="s">
        <v>0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>
        <v>0.05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1">
        <v>0.1</v>
      </c>
    </row>
    <row r="4" spans="1:10">
      <c r="A4" s="1"/>
      <c r="B4" s="1"/>
      <c r="C4" s="1"/>
      <c r="D4" s="1"/>
      <c r="E4" s="1"/>
      <c r="F4" s="1"/>
      <c r="G4" s="1"/>
      <c r="H4" s="1"/>
      <c r="I4" s="1"/>
      <c r="J4" s="1">
        <v>0.2</v>
      </c>
    </row>
    <row r="5" spans="1:10">
      <c r="A5" s="1"/>
      <c r="B5" s="1"/>
      <c r="C5" s="1"/>
      <c r="D5" s="1"/>
      <c r="E5" s="1"/>
      <c r="F5" s="1"/>
      <c r="G5" s="1"/>
      <c r="H5" s="1"/>
      <c r="I5" s="1"/>
      <c r="J5" s="1">
        <v>0.3</v>
      </c>
    </row>
    <row r="6" spans="1:10">
      <c r="A6" s="1"/>
      <c r="B6" s="1"/>
      <c r="C6" s="1"/>
      <c r="D6" s="1"/>
      <c r="E6" s="1"/>
      <c r="F6" s="1"/>
      <c r="G6" s="1"/>
      <c r="H6" s="1"/>
      <c r="I6" s="1"/>
      <c r="J6" s="1">
        <v>0.4</v>
      </c>
    </row>
    <row r="7" spans="1:10">
      <c r="A7" s="1"/>
      <c r="B7" s="1"/>
      <c r="C7" s="1"/>
      <c r="E7" s="1"/>
      <c r="F7" s="1"/>
      <c r="G7" s="1"/>
      <c r="H7" s="1"/>
      <c r="I7" s="1"/>
      <c r="J7" s="1">
        <v>0.5</v>
      </c>
    </row>
    <row r="8" spans="1:10">
      <c r="A8" s="1"/>
      <c r="B8" s="1"/>
      <c r="C8" s="1"/>
      <c r="D8" s="1"/>
      <c r="E8" s="1"/>
      <c r="F8" s="1"/>
      <c r="G8" s="1"/>
      <c r="H8" s="1"/>
      <c r="I8" s="1"/>
      <c r="J8" s="1">
        <v>0.6</v>
      </c>
    </row>
    <row r="9" spans="1:10">
      <c r="A9" s="1"/>
      <c r="B9" s="1" t="s">
        <v>99</v>
      </c>
      <c r="C9" s="1"/>
      <c r="D9" s="1"/>
      <c r="E9" s="1"/>
      <c r="F9" s="1"/>
      <c r="G9" s="1"/>
      <c r="H9" s="1"/>
      <c r="I9" s="1"/>
      <c r="J9" s="1">
        <v>0.7</v>
      </c>
    </row>
    <row r="10" spans="1:10">
      <c r="A10" s="1"/>
      <c r="B10" s="1" t="s">
        <v>57</v>
      </c>
      <c r="C10" s="1"/>
      <c r="D10" s="1"/>
      <c r="E10" s="1"/>
      <c r="F10" s="1"/>
      <c r="G10" s="1"/>
      <c r="H10" s="1"/>
      <c r="I10" s="1"/>
      <c r="J10" s="1">
        <v>0.8</v>
      </c>
    </row>
    <row r="11" spans="1:10">
      <c r="A11" s="1"/>
      <c r="B11" s="1" t="s">
        <v>58</v>
      </c>
      <c r="C11" s="1"/>
      <c r="D11" s="1"/>
      <c r="E11" s="1"/>
      <c r="F11" s="4" t="s">
        <v>49</v>
      </c>
      <c r="G11" s="1"/>
      <c r="H11" s="1"/>
      <c r="I11" s="1"/>
      <c r="J11" s="1">
        <v>0.9</v>
      </c>
    </row>
    <row r="12" spans="1:10">
      <c r="A12" s="1"/>
      <c r="B12" s="1" t="s">
        <v>62</v>
      </c>
      <c r="C12" s="1"/>
      <c r="D12" s="1"/>
      <c r="E12" s="1"/>
      <c r="F12" s="1"/>
      <c r="G12" s="1"/>
      <c r="H12" s="1"/>
      <c r="I12" s="1"/>
      <c r="J12" s="1">
        <v>1</v>
      </c>
    </row>
    <row r="13" spans="1:10">
      <c r="A13" s="1"/>
      <c r="B13" s="1" t="s">
        <v>63</v>
      </c>
      <c r="C13" s="1"/>
      <c r="D13" s="1"/>
      <c r="E13" s="1"/>
      <c r="F13" s="1"/>
      <c r="G13" s="1"/>
      <c r="H13" s="1"/>
      <c r="I13" s="1"/>
      <c r="J13" s="1">
        <v>1.2</v>
      </c>
    </row>
    <row r="14" spans="1:10">
      <c r="A14" s="1"/>
      <c r="B14" s="1" t="s">
        <v>64</v>
      </c>
      <c r="C14" s="1"/>
      <c r="D14" s="1"/>
      <c r="E14" s="1"/>
      <c r="F14" s="1" t="s">
        <v>100</v>
      </c>
      <c r="G14" s="1"/>
      <c r="H14" s="1" t="s">
        <v>101</v>
      </c>
      <c r="I14" s="1"/>
      <c r="J14" s="1">
        <v>1.4</v>
      </c>
    </row>
    <row r="15" spans="1:10">
      <c r="A15" s="1"/>
      <c r="B15" s="1"/>
      <c r="C15" s="1"/>
      <c r="D15" s="1"/>
      <c r="E15" s="1"/>
      <c r="F15" s="1">
        <v>0.85070299999999999</v>
      </c>
      <c r="G15" s="1"/>
      <c r="H15" s="1">
        <v>0.27100000000000002</v>
      </c>
      <c r="I15" s="1"/>
      <c r="J15" s="1">
        <v>1.6</v>
      </c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>
        <v>1.8</v>
      </c>
    </row>
    <row r="17" spans="1:10">
      <c r="A17" s="1"/>
      <c r="B17" s="1"/>
      <c r="C17" s="1"/>
      <c r="D17" s="1"/>
      <c r="E17" s="1"/>
      <c r="F17" s="1" t="s">
        <v>102</v>
      </c>
      <c r="G17" s="1"/>
      <c r="H17" s="1" t="s">
        <v>103</v>
      </c>
      <c r="I17" s="1"/>
      <c r="J17" s="1">
        <v>2</v>
      </c>
    </row>
    <row r="18" spans="1:10">
      <c r="A18" s="1"/>
      <c r="B18" s="1" t="s">
        <v>67</v>
      </c>
      <c r="C18" s="1"/>
      <c r="D18" s="1"/>
      <c r="E18" s="1"/>
      <c r="F18" s="1">
        <v>0.51961524199999998</v>
      </c>
      <c r="G18" s="1"/>
      <c r="H18" s="1">
        <v>1.1327612279999999</v>
      </c>
      <c r="I18" s="1"/>
      <c r="J18" s="1">
        <v>2.5</v>
      </c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>
        <v>3</v>
      </c>
    </row>
    <row r="20" spans="1:10">
      <c r="A20" s="1"/>
      <c r="B20" s="1"/>
      <c r="C20" s="1"/>
      <c r="D20" s="1"/>
      <c r="E20" s="1"/>
      <c r="F20" s="1" t="s">
        <v>104</v>
      </c>
      <c r="G20" s="1"/>
      <c r="H20" s="1" t="s">
        <v>105</v>
      </c>
      <c r="I20" s="1"/>
      <c r="J20" s="1">
        <v>3.5</v>
      </c>
    </row>
    <row r="21" spans="1:10">
      <c r="A21" s="1"/>
      <c r="B21" s="1"/>
      <c r="C21" s="1"/>
      <c r="D21" s="1"/>
      <c r="E21" s="1"/>
      <c r="F21" s="1">
        <v>0.72369559400000005</v>
      </c>
      <c r="G21" s="1"/>
      <c r="H21" s="1">
        <v>69826.009669999999</v>
      </c>
      <c r="I21" s="1"/>
      <c r="J21" s="1">
        <v>4</v>
      </c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>
        <v>4.5</v>
      </c>
    </row>
    <row r="23" spans="1:10">
      <c r="A23" s="1"/>
      <c r="B23" s="1"/>
      <c r="C23" s="1"/>
      <c r="D23" s="1"/>
      <c r="E23" s="1"/>
      <c r="F23" s="1" t="s">
        <v>106</v>
      </c>
      <c r="G23" s="1"/>
      <c r="H23" s="1"/>
      <c r="I23" s="1"/>
      <c r="J23" s="1">
        <v>5</v>
      </c>
    </row>
    <row r="24" spans="1:10">
      <c r="A24" s="1"/>
      <c r="B24" s="1"/>
      <c r="C24" s="1"/>
      <c r="D24" s="1"/>
      <c r="E24" s="1"/>
      <c r="F24" s="1">
        <v>28.664000000000001</v>
      </c>
      <c r="G24" s="1"/>
      <c r="H24" s="1"/>
      <c r="I24" s="1"/>
      <c r="J24" s="1">
        <v>5.5</v>
      </c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>
        <v>6</v>
      </c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jordan potts</cp:lastModifiedBy>
  <cp:revision/>
  <dcterms:created xsi:type="dcterms:W3CDTF">2021-05-25T15:37:52Z</dcterms:created>
  <dcterms:modified xsi:type="dcterms:W3CDTF">2023-09-13T19:41:38Z</dcterms:modified>
  <cp:category/>
  <cp:contentStatus/>
</cp:coreProperties>
</file>