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115" documentId="8_{E1144EFF-E205-DB47-8D5F-60D93BC5E501}" xr6:coauthVersionLast="47" xr6:coauthVersionMax="47" xr10:uidLastSave="{4CDFA30D-2726-4B33-9561-2768FA7DA7DE}"/>
  <bookViews>
    <workbookView xWindow="17920" yWindow="58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L14" i="7" s="1"/>
  <c r="M14" i="7" s="1"/>
  <c r="N14" i="7" s="1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I8" i="3"/>
  <c r="G35" i="4" s="1"/>
  <c r="C15" i="3"/>
  <c r="D15" i="3" s="1"/>
  <c r="C42" i="4" s="1"/>
  <c r="C16" i="3"/>
  <c r="D16" i="3" s="1"/>
  <c r="C43" i="4" s="1"/>
  <c r="C14" i="3"/>
  <c r="D14" i="3" s="1"/>
  <c r="C41" i="4" s="1"/>
  <c r="C36" i="4"/>
  <c r="B35" i="4"/>
  <c r="B36" i="4"/>
  <c r="B37" i="4"/>
  <c r="B41" i="4"/>
  <c r="B42" i="4"/>
  <c r="B43" i="4"/>
  <c r="C14" i="2"/>
  <c r="C15" i="2"/>
  <c r="C13" i="2"/>
  <c r="K8" i="3"/>
  <c r="C13" i="1"/>
  <c r="C14" i="1"/>
  <c r="C15" i="1"/>
  <c r="K10" i="3"/>
  <c r="H10" i="3"/>
  <c r="I10" i="3" s="1"/>
  <c r="G37" i="4" s="1"/>
  <c r="C10" i="3"/>
  <c r="D10" i="3" s="1"/>
  <c r="C37" i="4" s="1"/>
  <c r="D37" i="4" s="1"/>
  <c r="K9" i="3"/>
  <c r="H9" i="3"/>
  <c r="I9" i="3" s="1"/>
  <c r="G36" i="4" s="1"/>
  <c r="H36" i="4" s="1"/>
  <c r="C9" i="3"/>
  <c r="D9" i="3" s="1"/>
  <c r="H8" i="3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H37" i="4" l="1"/>
  <c r="S34" i="8"/>
  <c r="S27" i="8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48" i="8" l="1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L75" i="8"/>
  <c r="Q65" i="8"/>
  <c r="N66" i="8" s="1"/>
  <c r="N68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N70" i="8" l="1"/>
  <c r="N72" i="8" s="1"/>
  <c r="N81" i="8"/>
  <c r="N83" i="8" s="1"/>
  <c r="T46" i="8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<sst xmlns="http://schemas.openxmlformats.org/spreadsheetml/2006/main" count="206" uniqueCount="108">
  <si>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</si>
  <si>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</si>
  <si>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</si>
  <si>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</si>
  <si>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</si>
  <si>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</si>
  <si>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GNP PEAK?</t>
  </si>
  <si>
    <t>Porph Peak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</si>
  <si>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</si>
  <si>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</si>
  <si>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</si>
  <si>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</si>
  <si>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</si>
  <si>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</si>
  <si>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</si>
  <si>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</si>
  <si>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</si>
  <si>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</si>
  <si>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</si>
  <si>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Porph 2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</si>
  <si>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</si>
  <si>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</si>
  <si>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</si>
  <si>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</si>
  <si>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</si>
  <si>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</si>
  <si>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</si>
  <si>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</si>
  <si>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</si>
  <si>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</si>
  <si>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</si>
  <si>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</si>
  <si>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</si>
  <si>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</si>
  <si>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</si>
  <si>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</si>
  <si>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</si>
  <si>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</si>
  <si>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</si>
  <si>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</si>
  <si>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</si>
  <si>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</si>
  <si>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</si>
  <si>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</si>
  <si>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</si>
  <si>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</si>
  <si>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</si>
  <si>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</si>
  <si>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</si>
  <si>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</si>
  <si>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</si>
  <si>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</si>
  <si>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</si>
  <si>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</si>
  <si>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</si>
  <si>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</si>
  <si>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</si>
  <si>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</si>
  <si>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</si>
  <si>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</si>
  <si>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</si>
  <si>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</si>
  <si>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</si>
  <si>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</si>
  <si>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</si>
  <si>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</si>
  <si>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</si>
  <si>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</si>
  <si>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</si>
  <si>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</si>
  <si>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</si>
  <si>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</si>
  <si>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New</t>
  </si>
  <si>
    <t>D=diffusion coefficient</t>
  </si>
  <si>
    <t>for ox</t>
  </si>
  <si>
    <t>Calculating x axis</t>
  </si>
  <si>
    <t>OX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</si>
  <si>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</si>
  <si>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</si>
  <si>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</si>
  <si>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</si>
  <si>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</si>
  <si>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</si>
  <si>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fo red</t>
  </si>
  <si>
    <t>RED</t>
  </si>
  <si>
    <t>R= 8.314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</si>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</sst>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00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13" sqref="B13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3.5838E-8</v>
      </c>
      <c r="C2" s="8">
        <f>B2*1000000</f>
        <v>3.5838000000000002E-2</v>
      </c>
    </row>
    <row r="3" spans="1:5">
      <c r="A3" s="1">
        <v>2.5000000000000001E-2</v>
      </c>
      <c r="B3" s="7">
        <v>6.0199999999999996E-8</v>
      </c>
      <c r="C3" s="8">
        <f t="shared" ref="C3" si="0">B3*1000000</f>
        <v>6.0199999999999997E-2</v>
      </c>
    </row>
    <row r="4" spans="1:5">
      <c r="A4" s="1">
        <v>0.05</v>
      </c>
      <c r="B4" s="7">
        <v>1.1000000000000001E-7</v>
      </c>
      <c r="C4" s="8">
        <f>B4*1000000</f>
        <v>0.11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3.2000000000000001E-9</v>
      </c>
      <c r="C8" s="8">
        <f>B8*1000000</f>
        <v>3.2000000000000002E-3</v>
      </c>
    </row>
    <row r="9" spans="1:5">
      <c r="A9" s="1">
        <v>2.5000000000000001E-2</v>
      </c>
      <c r="B9" s="7">
        <v>3.1899999999999999E-9</v>
      </c>
      <c r="C9" s="8">
        <f t="shared" ref="C9" si="1">B9*1000000</f>
        <v>3.1900000000000001E-3</v>
      </c>
    </row>
    <row r="10" spans="1:5">
      <c r="A10" s="1">
        <v>0.05</v>
      </c>
      <c r="B10" s="7">
        <v>8.1796999999999998E-9</v>
      </c>
      <c r="C10" s="8">
        <f>B10*1000000</f>
        <v>8.1796999999999998E-3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7.4266799999999998E-9</v>
      </c>
      <c r="C13" s="11">
        <f t="shared" ref="C13:C14" si="2">B13*1000000</f>
        <v>7.4266799999999997E-3</v>
      </c>
      <c r="D13" s="9"/>
    </row>
    <row r="14" spans="1:5">
      <c r="A14" s="1">
        <v>2.5000000000000001E-2</v>
      </c>
      <c r="B14" s="10">
        <v>7.3227899999999997E-9</v>
      </c>
      <c r="C14" s="11">
        <f t="shared" si="2"/>
        <v>7.32279E-3</v>
      </c>
      <c r="D14" s="9"/>
    </row>
    <row r="15" spans="1:5">
      <c r="A15" s="1">
        <v>0.05</v>
      </c>
      <c r="B15" s="10">
        <v>1.3599999999999999E-8</v>
      </c>
      <c r="C15" s="11">
        <f>B15*1000000</f>
        <v>1.3599999999999999E-2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3" sqref="B13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-1.335E-8</v>
      </c>
      <c r="C2" s="8">
        <f>B2*1000000</f>
        <v>-1.3350000000000001E-2</v>
      </c>
    </row>
    <row r="3" spans="1:4">
      <c r="A3" s="1">
        <v>2.5000000000000001E-2</v>
      </c>
      <c r="B3" s="7">
        <v>-6.1328000000000005E-8</v>
      </c>
      <c r="C3" s="8">
        <f t="shared" ref="C3" si="0">B3*1000000</f>
        <v>-6.1328000000000008E-2</v>
      </c>
    </row>
    <row r="4" spans="1:4">
      <c r="A4" s="1">
        <v>0.05</v>
      </c>
      <c r="B4" s="7">
        <v>-1.0942E-7</v>
      </c>
      <c r="C4" s="8">
        <f>B4*1000000</f>
        <v>-0.10942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-4.1757299999999996E-9</v>
      </c>
      <c r="C8" s="8">
        <f>B8*1000000</f>
        <v>-4.1757299999999999E-3</v>
      </c>
    </row>
    <row r="9" spans="1:4">
      <c r="A9" s="1">
        <v>2.5000000000000001E-2</v>
      </c>
      <c r="B9" s="7">
        <v>-3.1748599999999999E-9</v>
      </c>
      <c r="C9" s="8">
        <f t="shared" ref="C9" si="1">B9*1000000</f>
        <v>-3.1748599999999998E-3</v>
      </c>
    </row>
    <row r="10" spans="1:4">
      <c r="A10" s="1">
        <v>0.05</v>
      </c>
      <c r="B10" s="7">
        <v>-3.32524E-9</v>
      </c>
      <c r="C10" s="8">
        <f>B10*1000000</f>
        <v>-3.3252400000000001E-3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0">
        <v>-4.7900000000000002E-9</v>
      </c>
      <c r="C13" s="11">
        <f>B13*1000000</f>
        <v>-4.79E-3</v>
      </c>
      <c r="D13" s="9"/>
    </row>
    <row r="14" spans="1:4">
      <c r="A14" s="1">
        <v>2.5000000000000001E-2</v>
      </c>
      <c r="B14" s="10">
        <v>-2.8630000000000001E-9</v>
      </c>
      <c r="C14" s="11">
        <f t="shared" ref="C14:C15" si="2">B14*1000000</f>
        <v>-2.8630000000000001E-3</v>
      </c>
      <c r="D14" s="9"/>
    </row>
    <row r="15" spans="1:4">
      <c r="A15" s="1">
        <v>0.05</v>
      </c>
      <c r="B15" s="10"/>
      <c r="C15" s="11">
        <f t="shared" si="2"/>
        <v>0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H33" sqref="H33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>
        <v>5.1729999999999998E-2</v>
      </c>
      <c r="C2">
        <f t="shared" ref="C2:C4" si="0">B2*0.5</f>
        <v>2.5864999999999999E-2</v>
      </c>
      <c r="D2">
        <f>C2+0.025247382</f>
        <v>5.1112381999999998E-2</v>
      </c>
      <c r="F2" s="1">
        <v>0.01</v>
      </c>
      <c r="G2" s="12">
        <v>7.2020000000000001E-2</v>
      </c>
      <c r="H2">
        <f t="shared" ref="H2:H4" si="1">G2*0.5</f>
        <v>3.601E-2</v>
      </c>
      <c r="I2">
        <f>H2+0.025247382</f>
        <v>6.1257381999999999E-2</v>
      </c>
      <c r="K2">
        <f>LOG(A2)</f>
        <v>-2</v>
      </c>
    </row>
    <row r="3" spans="1:16">
      <c r="A3" s="1">
        <v>2.5000000000000001E-2</v>
      </c>
      <c r="B3">
        <v>4.6690000000000002E-2</v>
      </c>
      <c r="C3">
        <f t="shared" si="0"/>
        <v>2.3345000000000001E-2</v>
      </c>
      <c r="D3">
        <f>C3+0.025247382</f>
        <v>4.8592382000000003E-2</v>
      </c>
      <c r="F3" s="1">
        <v>2.5000000000000001E-2</v>
      </c>
      <c r="G3">
        <v>6.6989999999999994E-2</v>
      </c>
      <c r="H3">
        <f t="shared" si="1"/>
        <v>3.3494999999999997E-2</v>
      </c>
      <c r="I3">
        <f t="shared" ref="I3:I4" si="2">H3+0.025247382</f>
        <v>5.8742381999999996E-2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>
        <v>3.662E-2</v>
      </c>
      <c r="C4">
        <f t="shared" si="0"/>
        <v>1.831E-2</v>
      </c>
      <c r="D4">
        <f>C4+0.025247382</f>
        <v>4.3557381999999999E-2</v>
      </c>
      <c r="F4" s="1">
        <v>0.05</v>
      </c>
      <c r="G4">
        <v>6.6989999999999994E-2</v>
      </c>
      <c r="H4">
        <f t="shared" si="1"/>
        <v>3.3494999999999997E-2</v>
      </c>
      <c r="I4">
        <f t="shared" si="2"/>
        <v>5.8742381999999996E-2</v>
      </c>
      <c r="K4">
        <f t="shared" si="3"/>
        <v>-1.3010299956639813</v>
      </c>
    </row>
    <row r="7" spans="1:16">
      <c r="A7" s="1" t="s">
        <v>0</v>
      </c>
      <c r="B7" s="1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0.29343000000000002</v>
      </c>
      <c r="C8">
        <f t="shared" ref="C8:C10" si="4">B8*0.5</f>
        <v>0.14671500000000001</v>
      </c>
      <c r="D8">
        <f>C8+0.025247382</f>
        <v>0.17196238200000002</v>
      </c>
      <c r="F8" s="1">
        <v>0.01</v>
      </c>
      <c r="G8">
        <v>0.48492000000000002</v>
      </c>
      <c r="H8">
        <f t="shared" ref="H8:H10" si="5">G8*0.5</f>
        <v>0.24246000000000001</v>
      </c>
      <c r="I8">
        <f>H8+0.025247382</f>
        <v>0.26770738199999999</v>
      </c>
      <c r="K8">
        <f>LOG(A8)</f>
        <v>-2</v>
      </c>
      <c r="N8" s="2">
        <v>0.1</v>
      </c>
      <c r="O8">
        <f>D3</f>
        <v>4.8592382000000003E-2</v>
      </c>
      <c r="P8">
        <f>I3</f>
        <v>5.8742381999999996E-2</v>
      </c>
    </row>
    <row r="9" spans="1:16">
      <c r="A9" s="1">
        <v>2.5000000000000001E-2</v>
      </c>
      <c r="B9">
        <v>0.33875</v>
      </c>
      <c r="C9">
        <f t="shared" si="4"/>
        <v>0.169375</v>
      </c>
      <c r="D9">
        <f>C9+0.025247382</f>
        <v>0.19462238199999998</v>
      </c>
      <c r="F9" s="1">
        <v>2.5000000000000001E-2</v>
      </c>
      <c r="G9">
        <v>0.55542000000000002</v>
      </c>
      <c r="H9">
        <f t="shared" si="5"/>
        <v>0.27771000000000001</v>
      </c>
      <c r="I9">
        <f t="shared" ref="I9:I10" si="6">H9+0.025247382</f>
        <v>0.302957382</v>
      </c>
      <c r="K9">
        <f t="shared" ref="K9:K10" si="7">LOG(A9)</f>
        <v>-1.6020599913279623</v>
      </c>
      <c r="N9" s="2">
        <v>0.2</v>
      </c>
      <c r="O9">
        <f>D4</f>
        <v>4.3557381999999999E-2</v>
      </c>
      <c r="P9">
        <f>I4</f>
        <v>5.8742381999999996E-2</v>
      </c>
    </row>
    <row r="10" spans="1:16">
      <c r="A10" s="1">
        <v>0.05</v>
      </c>
      <c r="B10">
        <v>0.27832000000000001</v>
      </c>
      <c r="C10">
        <f t="shared" si="4"/>
        <v>0.13916000000000001</v>
      </c>
      <c r="D10">
        <f>C10+0.025247382</f>
        <v>0.16440738199999999</v>
      </c>
      <c r="F10" s="1">
        <v>0.05</v>
      </c>
      <c r="G10">
        <v>0.66620000000000001</v>
      </c>
      <c r="H10">
        <f t="shared" si="5"/>
        <v>0.33310000000000001</v>
      </c>
      <c r="I10">
        <f t="shared" si="6"/>
        <v>0.35834738199999999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17</v>
      </c>
      <c r="O11">
        <f>AVERAGE(O8:O10)</f>
        <v>3.0716588E-2</v>
      </c>
      <c r="P11">
        <f>AVERAGE(P8:P10)</f>
        <v>3.9161587999999997E-2</v>
      </c>
    </row>
    <row r="12" spans="1:16">
      <c r="A12" s="1"/>
      <c r="F12" s="1"/>
      <c r="N12" s="2" t="s">
        <v>18</v>
      </c>
      <c r="O12">
        <f>_xlfn.STDEV.S(O8:O10)</f>
        <v>2.6720205650804938E-2</v>
      </c>
      <c r="P12">
        <f>_xlfn.STDEV.S(P8:P10)</f>
        <v>3.3914930060539826E-2</v>
      </c>
    </row>
    <row r="13" spans="1:16">
      <c r="A13" s="1" t="s">
        <v>0</v>
      </c>
      <c r="B13" s="1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19</v>
      </c>
    </row>
    <row r="14" spans="1:16">
      <c r="A14" s="1">
        <v>0.01</v>
      </c>
      <c r="B14" s="9">
        <v>0.68618999999999997</v>
      </c>
      <c r="C14" s="9">
        <f>B14/2</f>
        <v>0.34309499999999998</v>
      </c>
      <c r="D14" s="9">
        <f>C14+0.025247382</f>
        <v>0.36834238199999997</v>
      </c>
      <c r="E14" s="9"/>
      <c r="F14" s="1">
        <v>0.01</v>
      </c>
      <c r="G14" s="9">
        <v>0.87768999999999997</v>
      </c>
      <c r="H14" s="9">
        <f>G14/2</f>
        <v>0.43884499999999999</v>
      </c>
      <c r="I14" s="9">
        <f>H14+0.02524738</f>
        <v>0.46409237999999997</v>
      </c>
      <c r="J14" s="9"/>
      <c r="K14" s="9">
        <v>-2</v>
      </c>
      <c r="L14" s="9"/>
    </row>
    <row r="15" spans="1:16">
      <c r="A15" s="1">
        <v>2.5000000000000001E-2</v>
      </c>
      <c r="B15" s="9">
        <v>0.72833999999999999</v>
      </c>
      <c r="C15" s="9">
        <f t="shared" ref="C15:C16" si="8">B15/2</f>
        <v>0.36416999999999999</v>
      </c>
      <c r="D15" s="9">
        <f t="shared" ref="D15:D16" si="9">C15+0.025247382</f>
        <v>0.38941738199999998</v>
      </c>
      <c r="E15" s="9"/>
      <c r="F15" s="1">
        <v>2.5000000000000001E-2</v>
      </c>
      <c r="G15" s="9">
        <v>0.85753999999999997</v>
      </c>
      <c r="H15" s="9">
        <f t="shared" ref="H15:H16" si="10">G15/2</f>
        <v>0.42876999999999998</v>
      </c>
      <c r="I15" s="9">
        <f t="shared" ref="I15:I16" si="11">H15+0.02524738</f>
        <v>0.45401737999999997</v>
      </c>
      <c r="J15" s="9"/>
      <c r="K15" s="9">
        <v>-1.60206</v>
      </c>
      <c r="L15" s="9"/>
    </row>
    <row r="16" spans="1:16">
      <c r="A16" s="1">
        <v>0.05</v>
      </c>
      <c r="B16" s="9"/>
      <c r="C16" s="9">
        <f t="shared" si="8"/>
        <v>0</v>
      </c>
      <c r="D16" s="9">
        <f t="shared" si="9"/>
        <v>2.5247381999999999E-2</v>
      </c>
      <c r="E16" s="9"/>
      <c r="F16" s="1">
        <v>0.05</v>
      </c>
      <c r="G16" s="9"/>
      <c r="H16" s="9">
        <f t="shared" si="10"/>
        <v>0</v>
      </c>
      <c r="I16" s="9">
        <f t="shared" si="11"/>
        <v>2.524738E-2</v>
      </c>
      <c r="J16" s="9"/>
      <c r="K16" s="9">
        <v>-1.3010299999999999</v>
      </c>
      <c r="L16" s="9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20</v>
      </c>
      <c r="C1" s="1" t="s">
        <v>21</v>
      </c>
      <c r="D1" s="1" t="s">
        <v>22</v>
      </c>
      <c r="F1" s="1" t="s">
        <v>11</v>
      </c>
      <c r="G1" s="1" t="s">
        <v>23</v>
      </c>
      <c r="H1" s="3" t="s">
        <v>22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5.1112381999999998E-2</v>
      </c>
      <c r="D2">
        <f>B2-C2</f>
        <v>3.2967618000000004E-2</v>
      </c>
      <c r="F2">
        <v>4.4400000000000002E-2</v>
      </c>
      <c r="G2">
        <f>'E half'!I2</f>
        <v>6.1257381999999999E-2</v>
      </c>
      <c r="H2">
        <f>F2-G2</f>
        <v>-1.6857381999999997E-2</v>
      </c>
    </row>
    <row r="3" spans="1:13">
      <c r="A3" s="1">
        <v>0.1</v>
      </c>
      <c r="B3">
        <v>9.171E-2</v>
      </c>
      <c r="C3">
        <f>'E half'!D3</f>
        <v>4.8592382000000003E-2</v>
      </c>
      <c r="D3">
        <f t="shared" ref="D3:D23" si="0">B3-C3</f>
        <v>4.3117617999999996E-2</v>
      </c>
      <c r="F3">
        <v>4.4400000000000002E-2</v>
      </c>
      <c r="G3">
        <f>'E half'!I3</f>
        <v>5.8742381999999996E-2</v>
      </c>
      <c r="H3">
        <f t="shared" ref="H3:H23" si="1">F3-G3</f>
        <v>-1.4342381999999994E-2</v>
      </c>
    </row>
    <row r="4" spans="1:13">
      <c r="A4" s="1">
        <v>0.2</v>
      </c>
      <c r="B4">
        <v>7.9500000000000001E-2</v>
      </c>
      <c r="C4">
        <f>'E half'!D4</f>
        <v>4.3557381999999999E-2</v>
      </c>
      <c r="D4">
        <f t="shared" si="0"/>
        <v>3.5942618000000003E-2</v>
      </c>
      <c r="F4">
        <v>4.5929999999999999E-2</v>
      </c>
      <c r="G4">
        <f>'E half'!I4</f>
        <v>5.8742381999999996E-2</v>
      </c>
      <c r="H4">
        <f t="shared" si="1"/>
        <v>-1.2812381999999997E-2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0.17196238200000002</v>
      </c>
      <c r="D8">
        <f t="shared" si="0"/>
        <v>-7.8122382000000018E-2</v>
      </c>
      <c r="F8">
        <v>3.9829999999999997E-2</v>
      </c>
      <c r="G8">
        <f>'E half'!I8</f>
        <v>0.26770738199999999</v>
      </c>
      <c r="H8">
        <f t="shared" si="1"/>
        <v>-0.22787738199999999</v>
      </c>
    </row>
    <row r="9" spans="1:13">
      <c r="A9" s="1">
        <v>0.7</v>
      </c>
      <c r="B9">
        <v>8.7739999999999999E-2</v>
      </c>
      <c r="C9">
        <f>'E half'!D9</f>
        <v>0.19462238199999998</v>
      </c>
      <c r="D9">
        <f t="shared" si="0"/>
        <v>-0.10688238199999998</v>
      </c>
      <c r="F9">
        <v>3.7379999999999997E-2</v>
      </c>
      <c r="G9">
        <f>'E half'!I9</f>
        <v>0.302957382</v>
      </c>
      <c r="H9">
        <f t="shared" si="1"/>
        <v>-0.26557738200000003</v>
      </c>
    </row>
    <row r="10" spans="1:13">
      <c r="A10" s="1">
        <v>0.8</v>
      </c>
      <c r="B10">
        <v>8.652E-2</v>
      </c>
      <c r="C10">
        <f>'E half'!D10</f>
        <v>0.16440738199999999</v>
      </c>
      <c r="D10">
        <f t="shared" si="0"/>
        <v>-7.7887381999999991E-2</v>
      </c>
      <c r="F10">
        <v>3.8300000000000001E-2</v>
      </c>
      <c r="G10">
        <f>'E half'!I10</f>
        <v>0.35834738199999999</v>
      </c>
      <c r="H10">
        <f t="shared" si="1"/>
        <v>-0.32004738199999999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0.36834238199999997</v>
      </c>
      <c r="D14">
        <f t="shared" si="0"/>
        <v>-0.26824238199999995</v>
      </c>
      <c r="F14">
        <v>2.0140000000000002E-2</v>
      </c>
      <c r="G14">
        <f>'E half'!I14</f>
        <v>0.46409237999999997</v>
      </c>
      <c r="H14">
        <f t="shared" si="1"/>
        <v>-0.44395237999999998</v>
      </c>
    </row>
    <row r="15" spans="1:13">
      <c r="A15" s="1">
        <v>1.6</v>
      </c>
      <c r="B15">
        <v>8.0110000000000001E-2</v>
      </c>
      <c r="C15">
        <f>'E half'!D15</f>
        <v>0.38941738199999998</v>
      </c>
      <c r="D15">
        <f t="shared" si="0"/>
        <v>-0.30930738199999996</v>
      </c>
      <c r="F15">
        <v>4.0129999999999999E-2</v>
      </c>
      <c r="G15">
        <f>'E half'!I15</f>
        <v>0.45401737999999997</v>
      </c>
      <c r="H15">
        <f t="shared" si="1"/>
        <v>-0.41388737999999997</v>
      </c>
    </row>
    <row r="16" spans="1:13">
      <c r="A16" s="1">
        <v>1.8</v>
      </c>
      <c r="B16">
        <v>9.9330000000000002E-2</v>
      </c>
      <c r="C16">
        <f>'E half'!D16</f>
        <v>2.5247381999999999E-2</v>
      </c>
      <c r="D16">
        <f t="shared" si="0"/>
        <v>7.4082618000000003E-2</v>
      </c>
      <c r="F16">
        <v>3.9219999999999998E-2</v>
      </c>
      <c r="G16">
        <f>'E half'!I16</f>
        <v>2.524738E-2</v>
      </c>
      <c r="H16">
        <f t="shared" si="1"/>
        <v>1.3972619999999998E-2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5.1729999999999998E-2</v>
      </c>
      <c r="C29">
        <f>'E half'!D2</f>
        <v>5.1112381999999998E-2</v>
      </c>
      <c r="D29">
        <f>B29-C29</f>
        <v>6.1761800000000033E-4</v>
      </c>
      <c r="F29">
        <f>'E half'!G2</f>
        <v>7.2020000000000001E-2</v>
      </c>
      <c r="G29">
        <f>'E half'!I2</f>
        <v>6.1257381999999999E-2</v>
      </c>
      <c r="H29">
        <f t="shared" ref="H29:H43" si="2">F29-G29</f>
        <v>1.0762618000000002E-2</v>
      </c>
    </row>
    <row r="30" spans="1:8">
      <c r="A30" s="1">
        <v>2.5000000000000001E-2</v>
      </c>
      <c r="B30">
        <f>'E half'!B3</f>
        <v>4.6690000000000002E-2</v>
      </c>
      <c r="C30">
        <f>'E half'!D3</f>
        <v>4.8592382000000003E-2</v>
      </c>
      <c r="D30">
        <f t="shared" ref="D29:D43" si="3">B30-C30</f>
        <v>-1.9023820000000011E-3</v>
      </c>
      <c r="F30">
        <f>'E half'!G3</f>
        <v>6.6989999999999994E-2</v>
      </c>
      <c r="G30">
        <f>'E half'!I3</f>
        <v>5.8742381999999996E-2</v>
      </c>
      <c r="H30">
        <f t="shared" si="2"/>
        <v>8.2476179999999982E-3</v>
      </c>
    </row>
    <row r="31" spans="1:8">
      <c r="A31" s="1">
        <v>0.05</v>
      </c>
      <c r="B31">
        <f>'E half'!B4</f>
        <v>3.662E-2</v>
      </c>
      <c r="C31">
        <f>'E half'!D4</f>
        <v>4.3557381999999999E-2</v>
      </c>
      <c r="D31">
        <f t="shared" si="3"/>
        <v>-6.9373819999999989E-3</v>
      </c>
      <c r="F31">
        <f>'E half'!G4</f>
        <v>6.6989999999999994E-2</v>
      </c>
      <c r="G31">
        <f>'E half'!I4</f>
        <v>5.8742381999999996E-2</v>
      </c>
      <c r="H31">
        <f t="shared" si="2"/>
        <v>8.2476179999999982E-3</v>
      </c>
    </row>
    <row r="34" spans="1:8">
      <c r="A34" t="s">
        <v>24</v>
      </c>
    </row>
    <row r="35" spans="1:8">
      <c r="A35" s="1">
        <v>0.01</v>
      </c>
      <c r="B35">
        <f>'E half'!B8</f>
        <v>0.29343000000000002</v>
      </c>
      <c r="C35">
        <f>'E half'!D8</f>
        <v>0.17196238200000002</v>
      </c>
      <c r="D35">
        <f t="shared" si="3"/>
        <v>0.121467618</v>
      </c>
      <c r="F35">
        <f>'E half'!G8</f>
        <v>0.48492000000000002</v>
      </c>
      <c r="G35">
        <f>'E half'!I8</f>
        <v>0.26770738199999999</v>
      </c>
      <c r="H35">
        <f t="shared" si="2"/>
        <v>0.21721261800000002</v>
      </c>
    </row>
    <row r="36" spans="1:8">
      <c r="A36" s="1">
        <v>2.5000000000000001E-2</v>
      </c>
      <c r="B36">
        <f>'E half'!B9</f>
        <v>0.33875</v>
      </c>
      <c r="C36">
        <f>'E half'!D9</f>
        <v>0.19462238199999998</v>
      </c>
      <c r="D36">
        <f t="shared" si="3"/>
        <v>0.14412761800000001</v>
      </c>
      <c r="F36">
        <f>'E half'!G9</f>
        <v>0.55542000000000002</v>
      </c>
      <c r="G36">
        <f>'E half'!I9</f>
        <v>0.302957382</v>
      </c>
      <c r="H36">
        <f t="shared" si="2"/>
        <v>0.25246261800000003</v>
      </c>
    </row>
    <row r="37" spans="1:8">
      <c r="A37" s="1">
        <v>0.05</v>
      </c>
      <c r="B37">
        <f>'E half'!B10</f>
        <v>0.27832000000000001</v>
      </c>
      <c r="C37">
        <f>'E half'!D10</f>
        <v>0.16440738199999999</v>
      </c>
      <c r="D37">
        <f t="shared" si="3"/>
        <v>0.11391261800000002</v>
      </c>
      <c r="F37">
        <f>'E half'!G10</f>
        <v>0.66620000000000001</v>
      </c>
      <c r="G37">
        <f>'E half'!I10</f>
        <v>0.35834738199999999</v>
      </c>
      <c r="H37">
        <f t="shared" si="2"/>
        <v>0.30785261800000002</v>
      </c>
    </row>
    <row r="40" spans="1:8">
      <c r="A40" t="s">
        <v>25</v>
      </c>
    </row>
    <row r="41" spans="1:8">
      <c r="A41" s="1">
        <v>0.01</v>
      </c>
      <c r="B41">
        <f>'E half'!B14</f>
        <v>0.68618999999999997</v>
      </c>
      <c r="C41">
        <f>'E half'!D14</f>
        <v>0.36834238199999997</v>
      </c>
      <c r="D41">
        <f t="shared" si="3"/>
        <v>0.317847618</v>
      </c>
      <c r="F41">
        <f>'E half'!G14</f>
        <v>0.87768999999999997</v>
      </c>
      <c r="G41">
        <f>'E half'!I14</f>
        <v>0.46409237999999997</v>
      </c>
      <c r="H41">
        <f t="shared" si="2"/>
        <v>0.41359762</v>
      </c>
    </row>
    <row r="42" spans="1:8">
      <c r="A42" s="1">
        <v>2.5000000000000001E-2</v>
      </c>
      <c r="B42">
        <f>'E half'!B15</f>
        <v>0.72833999999999999</v>
      </c>
      <c r="C42">
        <f>'E half'!D15</f>
        <v>0.38941738199999998</v>
      </c>
      <c r="D42">
        <f t="shared" si="3"/>
        <v>0.33892261800000001</v>
      </c>
      <c r="F42">
        <f>'E half'!G15</f>
        <v>0.85753999999999997</v>
      </c>
      <c r="G42">
        <f>'E half'!I15</f>
        <v>0.45401737999999997</v>
      </c>
      <c r="H42">
        <f t="shared" si="2"/>
        <v>0.40352262</v>
      </c>
    </row>
    <row r="43" spans="1:8">
      <c r="A43" s="1">
        <v>0.05</v>
      </c>
      <c r="B43">
        <f>'E half'!B16</f>
        <v>0</v>
      </c>
      <c r="C43">
        <f>'E half'!D16</f>
        <v>2.5247381999999999E-2</v>
      </c>
      <c r="D43">
        <f t="shared" si="3"/>
        <v>-2.5247381999999999E-2</v>
      </c>
      <c r="F43">
        <f>'E half'!G16</f>
        <v>0</v>
      </c>
      <c r="G43">
        <f>'E half'!I16</f>
        <v>2.524738E-2</v>
      </c>
      <c r="H43">
        <f t="shared" si="2"/>
        <v>-2.524738E-2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27</v>
      </c>
      <c r="C4" s="1"/>
      <c r="D4" s="1"/>
      <c r="E4" s="1"/>
      <c r="F4" s="1"/>
      <c r="G4" s="1"/>
      <c r="H4" s="1" t="s">
        <v>28</v>
      </c>
      <c r="I4" s="1"/>
      <c r="J4" s="1"/>
      <c r="K4" s="1"/>
      <c r="L4" s="1"/>
      <c r="M4" s="1"/>
      <c r="N4" s="1"/>
      <c r="O4" s="1" t="s">
        <v>29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33</v>
      </c>
      <c r="C9" s="1"/>
      <c r="D9" s="1"/>
      <c r="E9" s="1"/>
      <c r="F9" s="1"/>
      <c r="G9" s="1"/>
      <c r="H9" s="1" t="s">
        <v>34</v>
      </c>
      <c r="I9" s="1"/>
      <c r="J9" s="1"/>
      <c r="K9" s="1"/>
      <c r="L9" s="1"/>
      <c r="M9" s="1"/>
      <c r="N9" s="1"/>
      <c r="O9" s="1" t="s">
        <v>35</v>
      </c>
      <c r="P9" s="1"/>
      <c r="Q9" s="1"/>
      <c r="R9" s="1"/>
      <c r="S9" s="1"/>
      <c r="T9" s="1"/>
      <c r="U9" s="1"/>
    </row>
    <row r="10" spans="1:21">
      <c r="A10" s="1"/>
      <c r="B10" s="1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37</v>
      </c>
      <c r="I11" s="1">
        <v>96485.331999999995</v>
      </c>
      <c r="J11" s="1"/>
      <c r="K11" s="1" t="s">
        <v>38</v>
      </c>
      <c r="L11" s="1">
        <v>2436.002</v>
      </c>
      <c r="M11" s="1"/>
      <c r="N11" s="1"/>
      <c r="O11" s="1" t="s">
        <v>37</v>
      </c>
      <c r="P11" s="1">
        <v>96485.331999999995</v>
      </c>
      <c r="Q11" s="1"/>
      <c r="R11" s="1" t="s">
        <v>38</v>
      </c>
      <c r="S11" s="1">
        <v>2436.002</v>
      </c>
      <c r="T11" s="1"/>
      <c r="U11" s="1"/>
    </row>
    <row r="12" spans="1:21">
      <c r="A12" s="1"/>
      <c r="B12" s="1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40</v>
      </c>
      <c r="I13" s="1"/>
      <c r="J13" s="1"/>
      <c r="K13" s="1"/>
      <c r="L13" s="1"/>
      <c r="M13" s="1"/>
      <c r="N13" s="1"/>
      <c r="O13" s="1" t="s">
        <v>41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42</v>
      </c>
      <c r="C15" s="1"/>
      <c r="D15" s="1"/>
      <c r="E15" s="1"/>
      <c r="F15" s="1"/>
      <c r="G15" s="1"/>
      <c r="H15" s="1" t="s">
        <v>43</v>
      </c>
      <c r="I15" s="1"/>
      <c r="J15" s="1"/>
      <c r="K15" s="1"/>
      <c r="L15" s="1"/>
      <c r="M15" s="1"/>
      <c r="N15" s="1"/>
      <c r="O15" s="1" t="s">
        <v>44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45</v>
      </c>
      <c r="C17" s="1"/>
      <c r="D17" s="1"/>
      <c r="E17" s="1"/>
      <c r="F17" s="1"/>
      <c r="G17" s="1"/>
      <c r="H17" s="4" t="s">
        <v>46</v>
      </c>
      <c r="I17" s="4"/>
      <c r="J17" s="4"/>
      <c r="K17" s="4"/>
      <c r="L17" s="4"/>
      <c r="M17" s="1"/>
      <c r="N17" s="1"/>
      <c r="O17" s="4" t="s">
        <v>47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48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49</v>
      </c>
      <c r="C20" s="1"/>
      <c r="D20" s="1"/>
      <c r="E20" s="1"/>
      <c r="F20" s="1"/>
      <c r="G20" s="1"/>
      <c r="H20" s="4" t="s">
        <v>50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51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G1"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52</v>
      </c>
      <c r="M5" s="6" t="s">
        <v>53</v>
      </c>
      <c r="N5" s="1" t="s">
        <v>54</v>
      </c>
      <c r="P5" s="1" t="s">
        <v>55</v>
      </c>
      <c r="Q5" s="1"/>
    </row>
    <row r="6" spans="1:17">
      <c r="B6" s="5" t="s">
        <v>56</v>
      </c>
      <c r="I6" s="1"/>
    </row>
    <row r="7" spans="1:17">
      <c r="I7" s="1"/>
    </row>
    <row r="8" spans="1:17">
      <c r="I8" s="1">
        <v>0.01</v>
      </c>
      <c r="J8">
        <f>'E half'!B2</f>
        <v>5.1729999999999998E-2</v>
      </c>
      <c r="K8">
        <f>'E half'!G2</f>
        <v>7.2020000000000001E-2</v>
      </c>
      <c r="L8">
        <f t="shared" ref="L8:L22" si="0">J8-K8</f>
        <v>-2.0290000000000002E-2</v>
      </c>
      <c r="M8">
        <f>L8*E24</f>
        <v>0.20091192313060499</v>
      </c>
      <c r="N8">
        <f>G16*EXP(M8)</f>
        <v>1.0632159888514479</v>
      </c>
      <c r="P8">
        <f>'PSI graph'!Q8</f>
        <v>314977931.32244927</v>
      </c>
    </row>
    <row r="9" spans="1:17">
      <c r="I9" s="1">
        <v>2.5000000000000001E-2</v>
      </c>
      <c r="J9">
        <f>'E half'!B3</f>
        <v>4.6690000000000002E-2</v>
      </c>
      <c r="K9">
        <f>'E half'!G3</f>
        <v>6.6989999999999994E-2</v>
      </c>
      <c r="L9">
        <f t="shared" si="0"/>
        <v>-2.0299999999999992E-2</v>
      </c>
      <c r="M9">
        <f>L9*E24</f>
        <v>0.20101094329971803</v>
      </c>
      <c r="N9">
        <f>G16*EXP(M9)</f>
        <v>1.0633212738910529</v>
      </c>
      <c r="P9">
        <f>'PSI graph'!Q9</f>
        <v>118466799.96305574</v>
      </c>
    </row>
    <row r="10" spans="1:17">
      <c r="I10" s="1">
        <v>0.05</v>
      </c>
      <c r="J10">
        <f>'E half'!B4</f>
        <v>3.662E-2</v>
      </c>
      <c r="K10">
        <f>'E half'!G4</f>
        <v>6.6989999999999994E-2</v>
      </c>
      <c r="L10">
        <f t="shared" si="0"/>
        <v>-3.0369999999999994E-2</v>
      </c>
      <c r="M10">
        <f>L10*E24</f>
        <v>0.30072425359667182</v>
      </c>
      <c r="N10">
        <f>G16*EXP(M10)</f>
        <v>1.1748148928585631</v>
      </c>
      <c r="P10">
        <f>'PSI graph'!Q10</f>
        <v>45844312.649824373</v>
      </c>
    </row>
    <row r="12" spans="1:17">
      <c r="A12">
        <v>96485.331999999995</v>
      </c>
      <c r="I12" s="1"/>
    </row>
    <row r="13" spans="1:17">
      <c r="B13" s="1" t="s">
        <v>57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58</v>
      </c>
      <c r="I14" s="1">
        <v>0.01</v>
      </c>
      <c r="J14">
        <f>'E half'!B8</f>
        <v>0.29343000000000002</v>
      </c>
      <c r="K14">
        <f>'E half'!G8</f>
        <v>0.48492000000000002</v>
      </c>
      <c r="L14">
        <f t="shared" si="0"/>
        <v>-0.19148999999999999</v>
      </c>
      <c r="M14">
        <f>L14*E24</f>
        <v>1.8961372183479321</v>
      </c>
      <c r="N14">
        <f>G16*EXP(M14)</f>
        <v>5.7922658986412356</v>
      </c>
    </row>
    <row r="15" spans="1:17">
      <c r="B15" s="1" t="s">
        <v>59</v>
      </c>
      <c r="E15" t="s">
        <v>60</v>
      </c>
      <c r="F15" t="s">
        <v>61</v>
      </c>
      <c r="G15" t="s">
        <v>62</v>
      </c>
      <c r="I15" s="1">
        <v>2.5000000000000001E-2</v>
      </c>
      <c r="J15">
        <f>'E half'!B9</f>
        <v>0.33875</v>
      </c>
      <c r="K15">
        <f>'E half'!G9</f>
        <v>0.55542000000000002</v>
      </c>
      <c r="L15">
        <f t="shared" si="0"/>
        <v>-0.21667000000000003</v>
      </c>
      <c r="M15">
        <f>L15*E24</f>
        <v>2.1454700041748733</v>
      </c>
      <c r="N15">
        <f>G16*EXP(M15)</f>
        <v>7.4324559393867462</v>
      </c>
    </row>
    <row r="16" spans="1:17">
      <c r="B16" s="1" t="s">
        <v>63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0.27832000000000001</v>
      </c>
      <c r="K16">
        <f>'E half'!G10</f>
        <v>0.66620000000000001</v>
      </c>
      <c r="L16">
        <f t="shared" si="0"/>
        <v>-0.38788</v>
      </c>
      <c r="M16">
        <f>L16*E24</f>
        <v>3.8407943195613137</v>
      </c>
      <c r="N16">
        <f>G16*EXP(M16)</f>
        <v>40.495087204322374</v>
      </c>
    </row>
    <row r="17" spans="2:14">
      <c r="B17" s="1" t="s">
        <v>64</v>
      </c>
      <c r="I17" s="1"/>
    </row>
    <row r="18" spans="2:14">
      <c r="B18" s="1" t="s">
        <v>65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66</v>
      </c>
      <c r="G20" t="s">
        <v>67</v>
      </c>
      <c r="I20" s="1">
        <v>0.01</v>
      </c>
      <c r="J20">
        <f>'E half'!B14</f>
        <v>0.68618999999999997</v>
      </c>
      <c r="K20">
        <f>'E half'!G14</f>
        <v>0.87768999999999997</v>
      </c>
      <c r="L20">
        <f t="shared" si="0"/>
        <v>-0.1915</v>
      </c>
      <c r="M20">
        <f>L20*E24</f>
        <v>1.8962362385170453</v>
      </c>
      <c r="N20">
        <f>G16*EXP(M20)</f>
        <v>5.7928394781875703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0.72833999999999999</v>
      </c>
      <c r="K21">
        <f>'E half'!G15</f>
        <v>0.85753999999999997</v>
      </c>
      <c r="L21">
        <f t="shared" si="0"/>
        <v>-0.12919999999999998</v>
      </c>
      <c r="M21">
        <f>L21*E24</f>
        <v>1.2793405849420481</v>
      </c>
      <c r="N21">
        <f>G16*EXP(M21)</f>
        <v>3.1259146505463629</v>
      </c>
    </row>
    <row r="22" spans="2:14">
      <c r="B22" s="1" t="s">
        <v>68</v>
      </c>
      <c r="I22" s="1">
        <v>0.05</v>
      </c>
      <c r="J22">
        <f>'E half'!B16</f>
        <v>0</v>
      </c>
      <c r="K22">
        <f>'E half'!G16</f>
        <v>0</v>
      </c>
      <c r="L22">
        <f t="shared" si="0"/>
        <v>0</v>
      </c>
      <c r="M22">
        <f>L22*E24</f>
        <v>0</v>
      </c>
      <c r="N22">
        <f>G16*EXP(M22)</f>
        <v>0.86969417127512338</v>
      </c>
    </row>
    <row r="23" spans="2:14">
      <c r="B23">
        <v>2436.002</v>
      </c>
      <c r="E23" t="s">
        <v>69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X83"/>
  <sheetViews>
    <sheetView tabSelected="1" topLeftCell="G35" zoomScale="114" workbookViewId="0">
      <selection activeCell="L46" sqref="L46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  <col min="24" max="24" width="22.375" customWidth="1"/>
  </cols>
  <sheetData>
    <row r="2" spans="1:24">
      <c r="A2" s="1" t="s">
        <v>70</v>
      </c>
      <c r="B2" s="1"/>
    </row>
    <row r="3" spans="1:24">
      <c r="A3" s="1"/>
      <c r="B3" s="1"/>
      <c r="E3" s="1" t="s">
        <v>71</v>
      </c>
      <c r="F3" s="1"/>
      <c r="J3" t="s">
        <v>2</v>
      </c>
      <c r="P3" s="1" t="s">
        <v>70</v>
      </c>
      <c r="Q3" s="1"/>
      <c r="V3" t="s">
        <v>72</v>
      </c>
    </row>
    <row r="4" spans="1:24">
      <c r="A4" s="1" t="s">
        <v>73</v>
      </c>
      <c r="B4" s="1"/>
      <c r="J4" t="s">
        <v>74</v>
      </c>
      <c r="O4" s="15" t="s">
        <v>75</v>
      </c>
      <c r="P4" s="15"/>
      <c r="Q4" s="15"/>
      <c r="R4" s="15"/>
      <c r="S4" t="s">
        <v>76</v>
      </c>
      <c r="V4" t="s">
        <v>74</v>
      </c>
    </row>
    <row r="5" spans="1:24" ht="15.75">
      <c r="A5" s="1" t="s">
        <v>77</v>
      </c>
      <c r="B5" s="1"/>
      <c r="K5" s="1" t="s">
        <v>0</v>
      </c>
      <c r="L5" t="s">
        <v>78</v>
      </c>
      <c r="O5" s="1" t="s">
        <v>79</v>
      </c>
      <c r="P5" s="1" t="s">
        <v>80</v>
      </c>
      <c r="Q5" s="1" t="s">
        <v>55</v>
      </c>
      <c r="R5" s="1"/>
      <c r="S5" s="1" t="s">
        <v>81</v>
      </c>
      <c r="W5" s="1" t="s">
        <v>0</v>
      </c>
    </row>
    <row r="6" spans="1:24" ht="15.75">
      <c r="A6" s="1" t="s">
        <v>58</v>
      </c>
      <c r="B6" s="1"/>
      <c r="K6" s="1"/>
      <c r="L6" s="7"/>
      <c r="S6" s="7"/>
      <c r="W6" s="1">
        <v>0.01</v>
      </c>
      <c r="X6" s="14">
        <v>7.0204711534927604E-6</v>
      </c>
    </row>
    <row r="7" spans="1:24" ht="15.75">
      <c r="A7" s="1" t="s">
        <v>59</v>
      </c>
      <c r="B7" s="1"/>
      <c r="K7" s="1"/>
      <c r="L7" s="7"/>
      <c r="S7" s="7"/>
      <c r="W7" s="1">
        <v>2.5000000000000001E-2</v>
      </c>
      <c r="X7" s="13">
        <v>1.17109554318011E-5</v>
      </c>
    </row>
    <row r="8" spans="1:24" ht="15.75">
      <c r="A8" s="1" t="s">
        <v>63</v>
      </c>
      <c r="B8" s="1"/>
      <c r="K8" s="1">
        <v>0.01</v>
      </c>
      <c r="L8" s="7">
        <v>8.1003954217730293E-18</v>
      </c>
      <c r="M8" s="7">
        <v>1.1413000000000001E-5</v>
      </c>
      <c r="O8" s="7">
        <f>K8*L8*303117.6102</f>
        <v>2.4553725019228616E-14</v>
      </c>
      <c r="P8">
        <f t="shared" ref="P8:P17" si="0">O8/2436.002</f>
        <v>1.0079517594496481E-17</v>
      </c>
      <c r="Q8">
        <f>P8^-0.5</f>
        <v>314977931.32244927</v>
      </c>
      <c r="S8" s="7">
        <f>PSI!N8/Q8</f>
        <v>3.3755253404182537E-9</v>
      </c>
      <c r="T8" s="7">
        <f>AVERAGE(S6:S10)</f>
        <v>1.2659133857768323E-8</v>
      </c>
      <c r="W8" s="1">
        <v>0.05</v>
      </c>
      <c r="X8" s="13">
        <v>2.14645392821257E-5</v>
      </c>
    </row>
    <row r="9" spans="1:24" ht="15.75">
      <c r="A9" s="1" t="s">
        <v>82</v>
      </c>
      <c r="B9" s="1"/>
      <c r="K9" s="1">
        <v>2.5000000000000001E-2</v>
      </c>
      <c r="L9" s="7">
        <v>2.2905150451236099E-17</v>
      </c>
      <c r="M9" s="7"/>
      <c r="O9">
        <f t="shared" ref="O9:O12" si="1">K9*L9*303117.6102</f>
        <v>1.7357386165125346E-13</v>
      </c>
      <c r="P9">
        <f t="shared" si="0"/>
        <v>7.1253579287395279E-17</v>
      </c>
      <c r="Q9">
        <f t="shared" ref="Q9:Q17" si="2">P9^-0.5</f>
        <v>118466799.96305574</v>
      </c>
      <c r="S9" s="7">
        <f>PSI!N9/Q9</f>
        <v>8.9756900179852334E-9</v>
      </c>
      <c r="U9" t="s">
        <v>83</v>
      </c>
      <c r="W9" s="1">
        <v>0.01</v>
      </c>
      <c r="X9" s="13"/>
    </row>
    <row r="10" spans="1:24" ht="15.75">
      <c r="A10" s="1"/>
      <c r="B10" s="1"/>
      <c r="K10" s="1">
        <v>0.05</v>
      </c>
      <c r="L10" s="7">
        <v>7.6476065512510203E-17</v>
      </c>
      <c r="M10" s="7"/>
      <c r="O10">
        <f t="shared" si="1"/>
        <v>1.1590621107825365E-12</v>
      </c>
      <c r="P10">
        <f t="shared" si="0"/>
        <v>4.7580507355188403E-16</v>
      </c>
      <c r="Q10">
        <f t="shared" si="2"/>
        <v>45844312.649824373</v>
      </c>
      <c r="S10" s="7">
        <f>PSI!N10/Q10</f>
        <v>2.5626186214901484E-8</v>
      </c>
      <c r="W10" s="1">
        <v>2.5000000000000001E-2</v>
      </c>
      <c r="X10" s="13"/>
    </row>
    <row r="11" spans="1:24" ht="15.75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  <c r="W11" s="1">
        <v>0.05</v>
      </c>
      <c r="X11" s="13"/>
    </row>
    <row r="12" spans="1:24" ht="15.75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84</v>
      </c>
      <c r="W12" s="1"/>
    </row>
    <row r="13" spans="1:24" ht="15.75">
      <c r="A13" s="1"/>
      <c r="B13" s="1"/>
      <c r="D13" s="1" t="s">
        <v>85</v>
      </c>
      <c r="E13" s="1"/>
      <c r="F13" s="1"/>
      <c r="G13" s="1"/>
      <c r="H13" s="1"/>
      <c r="I13" s="1"/>
      <c r="J13" t="s">
        <v>83</v>
      </c>
      <c r="K13" s="1"/>
      <c r="L13" s="7"/>
      <c r="M13" s="1"/>
      <c r="S13" s="7"/>
      <c r="W13" s="1"/>
    </row>
    <row r="14" spans="1:24" ht="15.75">
      <c r="A14" s="1" t="s">
        <v>86</v>
      </c>
      <c r="B14" s="1"/>
      <c r="D14" s="1" t="s">
        <v>63</v>
      </c>
      <c r="E14" s="1"/>
      <c r="F14" s="1"/>
      <c r="G14" s="1"/>
      <c r="H14" s="1"/>
      <c r="I14" s="1"/>
      <c r="J14" s="1"/>
      <c r="K14" s="1"/>
      <c r="L14" s="7"/>
      <c r="M14" s="1"/>
      <c r="S14" s="7"/>
      <c r="V14" s="1"/>
      <c r="W14" s="1"/>
    </row>
    <row r="15" spans="1:24" ht="15.75">
      <c r="D15" s="1" t="s">
        <v>64</v>
      </c>
      <c r="E15" s="1"/>
      <c r="F15" s="1"/>
      <c r="G15" s="1" t="s">
        <v>87</v>
      </c>
      <c r="H15" s="1"/>
      <c r="J15" s="1"/>
      <c r="K15" s="1">
        <v>0.01</v>
      </c>
      <c r="L15" s="7">
        <v>1.13487953086168E-18</v>
      </c>
      <c r="M15" s="1"/>
      <c r="O15" s="7">
        <f>K15*L15*303117.6102</f>
        <v>3.4400197125968961E-15</v>
      </c>
      <c r="P15">
        <f t="shared" si="0"/>
        <v>1.4121580001153102E-18</v>
      </c>
      <c r="Q15">
        <f t="shared" si="2"/>
        <v>841508204.57788718</v>
      </c>
      <c r="S15" s="7">
        <f>PSI!N8/Q15</f>
        <v>1.2634647922235917E-9</v>
      </c>
      <c r="T15" s="7">
        <f>AVERAGE(S13:S17)</f>
        <v>1.1932127773599101E-8</v>
      </c>
      <c r="V15" s="1"/>
    </row>
    <row r="16" spans="1:24" ht="15.75">
      <c r="D16" s="1" t="s">
        <v>88</v>
      </c>
      <c r="E16" s="1"/>
      <c r="F16" s="1"/>
      <c r="G16" s="1" t="s">
        <v>89</v>
      </c>
      <c r="H16" s="1"/>
      <c r="J16" s="1"/>
      <c r="K16" s="1">
        <v>2.5000000000000001E-2</v>
      </c>
      <c r="L16" s="7">
        <v>2.3749863356669799E-17</v>
      </c>
      <c r="O16" s="7">
        <f>K16*L16*303117.6102</f>
        <v>1.7997504558125749E-13</v>
      </c>
      <c r="P16">
        <f t="shared" si="0"/>
        <v>7.3881320943602468E-17</v>
      </c>
      <c r="Q16">
        <f t="shared" si="2"/>
        <v>116340968.31608394</v>
      </c>
      <c r="S16" s="7">
        <f>PSI!N9/Q16</f>
        <v>9.139697642898598E-9</v>
      </c>
      <c r="V16" s="1"/>
    </row>
    <row r="17" spans="4:22" ht="15.75">
      <c r="D17" s="1" t="s">
        <v>90</v>
      </c>
      <c r="E17" s="1"/>
      <c r="F17" s="1"/>
      <c r="G17" s="1"/>
      <c r="H17" s="1"/>
      <c r="J17" s="1"/>
      <c r="K17" s="1">
        <v>0.05</v>
      </c>
      <c r="L17" s="7">
        <v>7.5091911930093705E-17</v>
      </c>
      <c r="O17" s="7">
        <f>K17*L17*303117.6102</f>
        <v>1.1380840444799437E-12</v>
      </c>
      <c r="P17">
        <f t="shared" si="0"/>
        <v>4.6719339494792846E-16</v>
      </c>
      <c r="Q17">
        <f t="shared" si="2"/>
        <v>46264902.674134679</v>
      </c>
      <c r="S17" s="7">
        <f>PSI!N10/Q17</f>
        <v>2.5393220885675112E-8</v>
      </c>
      <c r="V17" s="1"/>
    </row>
    <row r="18" spans="4:22">
      <c r="D18" s="1" t="s">
        <v>91</v>
      </c>
      <c r="E18" s="1"/>
      <c r="F18" s="1"/>
      <c r="G18" s="1" t="s">
        <v>91</v>
      </c>
      <c r="H18" s="1"/>
      <c r="J18" s="1"/>
      <c r="K18" s="1"/>
      <c r="L18" s="7"/>
    </row>
    <row r="19" spans="4:22">
      <c r="D19" s="1" t="s">
        <v>92</v>
      </c>
      <c r="E19" s="1"/>
      <c r="F19" s="1"/>
      <c r="G19" s="1"/>
      <c r="H19" s="1"/>
      <c r="J19" s="1"/>
      <c r="K19" s="1"/>
      <c r="L19" s="7"/>
    </row>
    <row r="20" spans="4:22">
      <c r="D20" s="1"/>
      <c r="E20" s="1"/>
      <c r="F20" s="1"/>
      <c r="G20" s="1"/>
      <c r="H20" s="1"/>
      <c r="I20" s="1"/>
      <c r="J20" s="1"/>
      <c r="K20" s="1"/>
      <c r="L20" s="7"/>
    </row>
    <row r="21" spans="4:22">
      <c r="K21" s="1"/>
      <c r="L21" s="7"/>
    </row>
    <row r="22" spans="4:22">
      <c r="J22" t="s">
        <v>14</v>
      </c>
      <c r="P22" s="1" t="s">
        <v>70</v>
      </c>
      <c r="Q22" s="1"/>
    </row>
    <row r="23" spans="4:22">
      <c r="J23" t="s">
        <v>74</v>
      </c>
      <c r="O23" s="15" t="s">
        <v>75</v>
      </c>
      <c r="P23" s="15"/>
      <c r="Q23" s="15"/>
      <c r="R23" s="15"/>
      <c r="S23" t="s">
        <v>76</v>
      </c>
    </row>
    <row r="24" spans="4:22">
      <c r="K24" s="1" t="s">
        <v>0</v>
      </c>
      <c r="L24" t="s">
        <v>78</v>
      </c>
      <c r="O24" s="1" t="s">
        <v>79</v>
      </c>
      <c r="P24" s="1" t="s">
        <v>80</v>
      </c>
      <c r="Q24" s="1" t="s">
        <v>55</v>
      </c>
      <c r="R24" s="1"/>
      <c r="S24" s="1" t="s">
        <v>81</v>
      </c>
    </row>
    <row r="25" spans="4:22">
      <c r="K25" s="1"/>
      <c r="L25" s="7"/>
      <c r="S25" s="7"/>
    </row>
    <row r="26" spans="4:22">
      <c r="K26" s="1"/>
      <c r="L26" s="7"/>
      <c r="S26" s="7"/>
    </row>
    <row r="27" spans="4:22">
      <c r="K27" s="1">
        <v>0.01</v>
      </c>
      <c r="L27" s="7">
        <v>1.80819163279911E-20</v>
      </c>
      <c r="M27" s="7"/>
      <c r="O27" s="7">
        <f>K27*L27*303117.6102</f>
        <v>5.4809472651770219E-17</v>
      </c>
      <c r="P27">
        <f t="shared" ref="P27:P36" si="3">O27/2436.002</f>
        <v>2.2499765046075586E-20</v>
      </c>
      <c r="Q27">
        <f>P27^-0.5</f>
        <v>6666701474.9280806</v>
      </c>
      <c r="S27" s="7">
        <f>PSI!N14/Q27</f>
        <v>8.6883534839899548E-10</v>
      </c>
      <c r="T27" s="7">
        <f>AVERAGE(S25:S29)</f>
        <v>1.2448691511395743E-8</v>
      </c>
    </row>
    <row r="28" spans="4:22">
      <c r="K28" s="1">
        <v>2.5000000000000001E-2</v>
      </c>
      <c r="L28" s="7">
        <v>1.7969080932155299E-20</v>
      </c>
      <c r="M28" s="7"/>
      <c r="O28">
        <f t="shared" ref="O28:O31" si="4">K28*L28*303117.6102</f>
        <v>1.3616862174113255E-16</v>
      </c>
      <c r="P28">
        <f t="shared" si="3"/>
        <v>5.5898403097014104E-20</v>
      </c>
      <c r="Q28">
        <f t="shared" ref="Q28:Q36" si="5">P28^-0.5</f>
        <v>4229609758.7313662</v>
      </c>
      <c r="S28" s="7">
        <f>PSI!N15/Q28</f>
        <v>1.757243897984585E-9</v>
      </c>
    </row>
    <row r="29" spans="4:22">
      <c r="K29" s="1">
        <v>0.05</v>
      </c>
      <c r="L29" s="7">
        <v>1.1815472833057299E-19</v>
      </c>
      <c r="M29" s="7"/>
      <c r="O29">
        <f t="shared" si="4"/>
        <v>1.7907389442696759E-15</v>
      </c>
      <c r="P29">
        <f t="shared" si="3"/>
        <v>7.3511390560010865E-19</v>
      </c>
      <c r="Q29">
        <f t="shared" si="5"/>
        <v>1166333315.1012087</v>
      </c>
      <c r="S29" s="7">
        <f>PSI!N16/Q29</f>
        <v>3.4719995287803648E-8</v>
      </c>
    </row>
    <row r="30" spans="4:22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2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84</v>
      </c>
    </row>
    <row r="32" spans="4:22">
      <c r="J32" t="s">
        <v>83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3.0852976059491399E-20</v>
      </c>
      <c r="M34" s="1"/>
      <c r="O34" s="7">
        <f>K34*L34*303117.6102</f>
        <v>9.3520803707108454E-17</v>
      </c>
      <c r="P34">
        <f t="shared" ref="P34:P37" si="6">O34/2436.002</f>
        <v>3.8391103006938603E-20</v>
      </c>
      <c r="Q34">
        <f t="shared" ref="Q34:Q37" si="7">P34^-0.5</f>
        <v>5103694909.0358496</v>
      </c>
      <c r="S34" s="7">
        <f>PSI!N14/Q34</f>
        <v>1.1349161738461882E-9</v>
      </c>
      <c r="T34" s="7">
        <f>AVERAGE(S32:S36)</f>
        <v>5.6717739598379264E-9</v>
      </c>
    </row>
    <row r="35" spans="10:20">
      <c r="J35" s="1"/>
      <c r="K35" s="1">
        <v>2.5000000000000001E-2</v>
      </c>
      <c r="L35" s="7">
        <v>1.77444696277685E-20</v>
      </c>
      <c r="O35" s="7">
        <f>K35*L35*303117.6102</f>
        <v>1.3446653069589178E-16</v>
      </c>
      <c r="P35">
        <f t="shared" si="6"/>
        <v>5.5199679924684703E-20</v>
      </c>
      <c r="Q35">
        <f t="shared" si="7"/>
        <v>4256294993.8022299</v>
      </c>
      <c r="S35" s="7">
        <f>PSI!N15/Q35</f>
        <v>1.7462266948624233E-9</v>
      </c>
    </row>
    <row r="36" spans="10:20">
      <c r="J36" s="1"/>
      <c r="K36" s="1">
        <v>0.05</v>
      </c>
      <c r="L36" s="7">
        <v>1.9580914254830101E-20</v>
      </c>
      <c r="O36" s="7">
        <f>K36*L36*303117.6102</f>
        <v>2.9676599672276071E-16</v>
      </c>
      <c r="P36">
        <f t="shared" si="6"/>
        <v>1.2182502178682969E-19</v>
      </c>
      <c r="Q36">
        <f t="shared" si="7"/>
        <v>2865047002.2606239</v>
      </c>
      <c r="S36" s="7">
        <f>PSI!N16/Q36</f>
        <v>1.4134179010805166E-8</v>
      </c>
    </row>
    <row r="37" spans="10:20">
      <c r="J37" s="1"/>
      <c r="K37" s="1"/>
      <c r="L37" s="7"/>
    </row>
    <row r="38" spans="10:20">
      <c r="N38" s="16"/>
      <c r="O38" s="17"/>
      <c r="P38" s="17"/>
    </row>
    <row r="40" spans="10:20">
      <c r="N40" s="16"/>
      <c r="O40" s="17"/>
      <c r="P40" s="17"/>
    </row>
    <row r="41" spans="10:20">
      <c r="J41" t="s">
        <v>19</v>
      </c>
      <c r="P41" s="1" t="s">
        <v>70</v>
      </c>
      <c r="Q41" s="1"/>
    </row>
    <row r="42" spans="10:20">
      <c r="J42" t="s">
        <v>74</v>
      </c>
      <c r="O42" s="15" t="s">
        <v>75</v>
      </c>
      <c r="P42" s="15"/>
      <c r="Q42" s="15"/>
      <c r="R42" s="15"/>
      <c r="S42" t="s">
        <v>76</v>
      </c>
    </row>
    <row r="43" spans="10:20">
      <c r="K43" s="1" t="s">
        <v>0</v>
      </c>
      <c r="L43" t="s">
        <v>78</v>
      </c>
      <c r="O43" s="1" t="s">
        <v>79</v>
      </c>
      <c r="P43" s="1" t="s">
        <v>80</v>
      </c>
      <c r="Q43" s="1" t="s">
        <v>55</v>
      </c>
      <c r="R43" s="1"/>
      <c r="S43" s="1" t="s">
        <v>81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9.6983389512014705E-20</v>
      </c>
      <c r="M46" s="7"/>
      <c r="O46" s="7">
        <f>K46*L46*303117.6102</f>
        <v>2.9397373257977646E-16</v>
      </c>
      <c r="P46">
        <f t="shared" ref="P46:P55" si="8">O46/2436.002</f>
        <v>1.2067877307973329E-19</v>
      </c>
      <c r="Q46">
        <f>P46^-0.5</f>
        <v>2878621448.2035255</v>
      </c>
      <c r="S46" s="7">
        <f>PSI!N20/Q46</f>
        <v>2.0123658433111219E-9</v>
      </c>
      <c r="T46" s="7">
        <f>AVERAGE(S44:S48)</f>
        <v>1.6468270779748971E-9</v>
      </c>
    </row>
    <row r="47" spans="10:20">
      <c r="K47" s="1">
        <v>2.5000000000000001E-2</v>
      </c>
      <c r="L47" s="7">
        <v>9.4132998523474796E-20</v>
      </c>
      <c r="M47" s="7"/>
      <c r="O47">
        <f t="shared" ref="O47:O50" si="9">K47*L47*303117.6102</f>
        <v>7.1333423883489526E-16</v>
      </c>
      <c r="P47">
        <f t="shared" si="8"/>
        <v>2.9282990688632247E-19</v>
      </c>
      <c r="Q47">
        <f t="shared" ref="Q47:Q55" si="10">P47^-0.5</f>
        <v>1847958803.6113443</v>
      </c>
      <c r="S47" s="7">
        <f>PSI!N21/Q47</f>
        <v>1.6915499655282323E-9</v>
      </c>
    </row>
    <row r="48" spans="10:20">
      <c r="K48" s="1">
        <v>0.05</v>
      </c>
      <c r="L48" s="7">
        <v>3.2493578874596698E-19</v>
      </c>
      <c r="M48" s="7">
        <v>1.6803999999999999E-7</v>
      </c>
      <c r="O48">
        <f t="shared" si="9"/>
        <v>4.9246879876564792E-15</v>
      </c>
      <c r="P48">
        <f t="shared" si="8"/>
        <v>2.0216272349761944E-18</v>
      </c>
      <c r="Q48">
        <f t="shared" si="10"/>
        <v>703314320.15827596</v>
      </c>
      <c r="S48" s="7">
        <f>PSI!N22/Q48</f>
        <v>1.2365654250853371E-9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84</v>
      </c>
    </row>
    <row r="51" spans="10:20">
      <c r="J51" t="s">
        <v>83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4.03079543175083E-20</v>
      </c>
      <c r="M53" s="1"/>
      <c r="O53" s="7">
        <f>K53*L53*303117.6102</f>
        <v>1.2218050784773889E-16</v>
      </c>
      <c r="P53">
        <f t="shared" ref="P53:P56" si="11">O53/2436.002</f>
        <v>5.0156160728824892E-20</v>
      </c>
      <c r="Q53">
        <f t="shared" ref="Q53:Q56" si="12">P53^-0.5</f>
        <v>4465168551.1800013</v>
      </c>
      <c r="S53" s="7">
        <f>PSI!N20/Q53</f>
        <v>1.297339487141355E-9</v>
      </c>
      <c r="T53" s="7">
        <f>AVERAGE(S51:S55)</f>
        <v>9.7912281060692964E-10</v>
      </c>
    </row>
    <row r="54" spans="10:20">
      <c r="J54" s="1"/>
      <c r="K54" s="1">
        <v>2.5000000000000001E-2</v>
      </c>
      <c r="L54" s="7">
        <v>1.43698355191744E-20</v>
      </c>
      <c r="O54" s="7">
        <f>K54*L54*303117.6102</f>
        <v>1.0889375503848052E-16</v>
      </c>
      <c r="P54">
        <f t="shared" si="11"/>
        <v>4.4701833183421243E-20</v>
      </c>
      <c r="Q54">
        <f t="shared" si="12"/>
        <v>4729740714.1381388</v>
      </c>
      <c r="S54" s="7">
        <f>PSI!N21/Q54</f>
        <v>6.6090613407250429E-10</v>
      </c>
    </row>
    <row r="55" spans="10:20">
      <c r="J55" s="1"/>
      <c r="K55" s="1">
        <v>0.05</v>
      </c>
      <c r="L55" s="7"/>
      <c r="O55" s="7">
        <f>K55*L55*303117.6102</f>
        <v>0</v>
      </c>
      <c r="P55">
        <f t="shared" si="11"/>
        <v>0</v>
      </c>
      <c r="Q55" t="e">
        <f t="shared" si="12"/>
        <v>#DIV/0!</v>
      </c>
      <c r="S55" s="7"/>
    </row>
    <row r="56" spans="10:20">
      <c r="J56" s="1"/>
      <c r="K56" s="1"/>
      <c r="L56" s="7"/>
    </row>
    <row r="57" spans="10:20">
      <c r="N57" s="17" t="e">
        <f>N55/M29</f>
        <v>#DIV/0!</v>
      </c>
      <c r="O57" s="17"/>
      <c r="P57" s="17"/>
      <c r="Q57" s="17"/>
    </row>
    <row r="59" spans="10:20">
      <c r="N59" s="16" t="e">
        <f>L54/N57</f>
        <v>#DIV/0!</v>
      </c>
      <c r="O59" s="17"/>
      <c r="P59" s="17"/>
      <c r="Q59" s="17"/>
    </row>
    <row r="61" spans="10:20">
      <c r="N61" s="16" t="e">
        <f>N59/Q8</f>
        <v>#DIV/0!</v>
      </c>
      <c r="O61" s="17"/>
      <c r="P61" s="17"/>
      <c r="Q61" s="17"/>
    </row>
    <row r="64" spans="10:20">
      <c r="L64" t="s">
        <v>93</v>
      </c>
    </row>
    <row r="65" spans="12:17">
      <c r="L65">
        <f>0.00000001677</f>
        <v>1.6770000000000001E-8</v>
      </c>
      <c r="M65" t="s">
        <v>94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6">
        <f>N65*O65*P65*Q65</f>
        <v>0</v>
      </c>
      <c r="O66" s="17"/>
      <c r="P66" s="17"/>
      <c r="Q66" s="17"/>
    </row>
    <row r="68" spans="12:17">
      <c r="N68" s="16" t="e">
        <f>N66/M29</f>
        <v>#DIV/0!</v>
      </c>
      <c r="O68" s="17"/>
      <c r="P68" s="17"/>
      <c r="Q68" s="17"/>
    </row>
    <row r="70" spans="12:17">
      <c r="N70" s="16" t="e">
        <f>L65/N68</f>
        <v>#DIV/0!</v>
      </c>
      <c r="O70" s="17"/>
      <c r="P70" s="17"/>
      <c r="Q70" s="17"/>
    </row>
    <row r="72" spans="12:17">
      <c r="N72" s="16" t="e">
        <f>N70/Q7</f>
        <v>#DIV/0!</v>
      </c>
      <c r="O72" s="17"/>
      <c r="P72" s="17"/>
      <c r="Q72" s="17"/>
    </row>
    <row r="74" spans="12:17">
      <c r="L74" t="s">
        <v>95</v>
      </c>
    </row>
    <row r="75" spans="12:17">
      <c r="L75">
        <f>0.00000001993</f>
        <v>1.993E-8</v>
      </c>
      <c r="M75" t="s">
        <v>94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6">
        <f>N75*O75*P75*Q75</f>
        <v>0</v>
      </c>
      <c r="O77" s="17"/>
      <c r="P77" s="17"/>
      <c r="Q77" s="17"/>
    </row>
    <row r="79" spans="12:17">
      <c r="N79" s="16" t="e">
        <f>N77/M29</f>
        <v>#DIV/0!</v>
      </c>
      <c r="O79" s="17"/>
      <c r="P79" s="17"/>
      <c r="Q79" s="17"/>
    </row>
    <row r="81" spans="14:17">
      <c r="N81" s="16" t="e">
        <f>L75/N79</f>
        <v>#DIV/0!</v>
      </c>
      <c r="O81" s="17"/>
      <c r="P81" s="17"/>
      <c r="Q81" s="17"/>
    </row>
    <row r="83" spans="14:17">
      <c r="N83" s="16" t="e">
        <f>N81/Q6</f>
        <v>#DIV/0!</v>
      </c>
      <c r="O83" s="17"/>
      <c r="P83" s="17"/>
      <c r="Q83" s="17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96</v>
      </c>
      <c r="D4" t="s">
        <v>97</v>
      </c>
      <c r="E4" t="s">
        <v>98</v>
      </c>
      <c r="F4" t="s">
        <v>99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96</v>
      </c>
      <c r="E5" t="s">
        <v>97</v>
      </c>
      <c r="F5" t="s">
        <v>98</v>
      </c>
      <c r="G5" t="s">
        <v>99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100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58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59</v>
      </c>
      <c r="C11" s="1"/>
      <c r="D11" s="1"/>
      <c r="E11" s="1"/>
      <c r="F11" s="4" t="s">
        <v>50</v>
      </c>
      <c r="G11" s="1"/>
      <c r="H11" s="1"/>
      <c r="I11" s="1"/>
      <c r="J11" s="1">
        <v>0.9</v>
      </c>
    </row>
    <row r="12" spans="1:10">
      <c r="A12" s="1"/>
      <c r="B12" s="1" t="s">
        <v>63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64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65</v>
      </c>
      <c r="C14" s="1"/>
      <c r="D14" s="1"/>
      <c r="E14" s="1"/>
      <c r="F14" s="1" t="s">
        <v>101</v>
      </c>
      <c r="G14" s="1"/>
      <c r="H14" s="1" t="s">
        <v>102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103</v>
      </c>
      <c r="G17" s="1"/>
      <c r="H17" s="1" t="s">
        <v>104</v>
      </c>
      <c r="I17" s="1"/>
      <c r="J17" s="1">
        <v>2</v>
      </c>
    </row>
    <row r="18" spans="1:10">
      <c r="A18" s="1"/>
      <c r="B18" s="1" t="s">
        <v>68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105</v>
      </c>
      <c r="G20" s="1"/>
      <c r="H20" s="1" t="s">
        <v>106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107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2023-09-13T05:50:20Z</dcterms:modified>
  <cp:category/>
  <cp:contentStatus/>
</cp:coreProperties>
</file>