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jordan_potts2_nottingham_ac_uk/Documents/"/>
    </mc:Choice>
  </mc:AlternateContent>
  <xr:revisionPtr revIDLastSave="31" documentId="8_{46C9F540-FF42-4D47-AD61-529DC6344896}" xr6:coauthVersionLast="47" xr6:coauthVersionMax="47" xr10:uidLastSave="{DE717D65-A9BC-4B71-BC22-B0A8D8AA191C}"/>
  <bookViews>
    <workbookView xWindow="15760" yWindow="500" windowWidth="17920" windowHeight="20480" firstSheet="6" activeTab="6" xr2:uid="{43367EF7-17DD-F149-BD52-268FCFABAC03}"/>
  </bookViews>
  <sheets>
    <sheet name="Oxidation" sheetId="1" r:id="rId1"/>
    <sheet name="Reduction" sheetId="2" r:id="rId2"/>
    <sheet name="E half" sheetId="3" r:id="rId3"/>
    <sheet name="Log Ep-E0" sheetId="4" r:id="rId4"/>
    <sheet name="Alpha" sheetId="5" r:id="rId5"/>
    <sheet name="PSI" sheetId="7" r:id="rId6"/>
    <sheet name="PSI graph" sheetId="8" r:id="rId7"/>
    <sheet name="Oxidation current function" sheetId="9" r:id="rId8"/>
    <sheet name="Reduction current function" sheetId="10" r:id="rId9"/>
    <sheet name="psi_x0009__x0009__x0009__x0009__x0009__x0009__x0009__x0009__x000a__x0009__x0009__x0009__x0009__x0009__x0009__x0009__x0009__x000a__x0009__x0009__x0009__x0009__x0009__x0009__x0009__x0009__x000a__x0009_" sheetId="6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L54" i="8" l="1"/>
  <c r="C3" i="2"/>
  <c r="C4" i="2"/>
  <c r="C2" i="2"/>
  <c r="O8" i="8"/>
  <c r="C3" i="1"/>
  <c r="C2" i="1"/>
  <c r="K9" i="7"/>
  <c r="K10" i="7"/>
  <c r="K8" i="7"/>
  <c r="J9" i="7"/>
  <c r="J10" i="7"/>
  <c r="J8" i="7"/>
  <c r="F30" i="4"/>
  <c r="F31" i="4"/>
  <c r="F29" i="4"/>
  <c r="B30" i="4"/>
  <c r="B31" i="4"/>
  <c r="B29" i="4"/>
  <c r="K3" i="3"/>
  <c r="K4" i="3"/>
  <c r="K2" i="3"/>
  <c r="O15" i="8" l="1"/>
  <c r="O16" i="8"/>
  <c r="O17" i="8"/>
  <c r="Q75" i="8"/>
  <c r="N77" i="8" s="1"/>
  <c r="N79" i="8" s="1"/>
  <c r="N81" i="8" s="1"/>
  <c r="N83" i="8" s="1"/>
  <c r="L75" i="8"/>
  <c r="Q65" i="8"/>
  <c r="N66" i="8" s="1"/>
  <c r="N68" i="8" s="1"/>
  <c r="N70" i="8" s="1"/>
  <c r="N72" i="8" s="1"/>
  <c r="L65" i="8"/>
  <c r="Q54" i="8"/>
  <c r="L8" i="7"/>
  <c r="L9" i="7"/>
  <c r="L10" i="7"/>
  <c r="C3" i="3"/>
  <c r="C4" i="3"/>
  <c r="D4" i="3" s="1"/>
  <c r="C31" i="4" s="1"/>
  <c r="H3" i="3"/>
  <c r="N55" i="8" l="1"/>
  <c r="N57" i="8" s="1"/>
  <c r="N59" i="8" s="1"/>
  <c r="C4" i="4"/>
  <c r="D23" i="5"/>
  <c r="B26" i="5"/>
  <c r="D3" i="3"/>
  <c r="C30" i="4" s="1"/>
  <c r="C2" i="3"/>
  <c r="D2" i="3" s="1"/>
  <c r="C8" i="4"/>
  <c r="D8" i="4" s="1"/>
  <c r="C9" i="4"/>
  <c r="D9" i="4" s="1"/>
  <c r="C10" i="4"/>
  <c r="D10" i="4" s="1"/>
  <c r="C11" i="4"/>
  <c r="D11" i="4" s="1"/>
  <c r="C12" i="4"/>
  <c r="D12" i="4" s="1"/>
  <c r="C13" i="4"/>
  <c r="D13" i="4" s="1"/>
  <c r="C14" i="4"/>
  <c r="D14" i="4" s="1"/>
  <c r="C15" i="4"/>
  <c r="D15" i="4" s="1"/>
  <c r="C16" i="4"/>
  <c r="D16" i="4" s="1"/>
  <c r="C17" i="4"/>
  <c r="D17" i="4" s="1"/>
  <c r="C21" i="4"/>
  <c r="D21" i="4" s="1"/>
  <c r="H2" i="3"/>
  <c r="I2" i="3" s="1"/>
  <c r="I3" i="3"/>
  <c r="G30" i="4" s="1"/>
  <c r="H30" i="4" s="1"/>
  <c r="H4" i="3"/>
  <c r="G5" i="4"/>
  <c r="H5" i="4" s="1"/>
  <c r="G6" i="4"/>
  <c r="H6" i="4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G13" i="4"/>
  <c r="H13" i="4" s="1"/>
  <c r="G14" i="4"/>
  <c r="H14" i="4" s="1"/>
  <c r="G15" i="4"/>
  <c r="H15" i="4" s="1"/>
  <c r="G16" i="4"/>
  <c r="H16" i="4" s="1"/>
  <c r="G17" i="4"/>
  <c r="H17" i="4" s="1"/>
  <c r="G19" i="4"/>
  <c r="H19" i="4" s="1"/>
  <c r="G20" i="4"/>
  <c r="H20" i="4" s="1"/>
  <c r="G21" i="4"/>
  <c r="H21" i="4" s="1"/>
  <c r="G18" i="4"/>
  <c r="H18" i="4" s="1"/>
  <c r="G22" i="4"/>
  <c r="H22" i="4" s="1"/>
  <c r="E27" i="10"/>
  <c r="G27" i="10" s="1"/>
  <c r="E26" i="10"/>
  <c r="G26" i="10" s="1"/>
  <c r="E25" i="10"/>
  <c r="G25" i="10" s="1"/>
  <c r="E24" i="10"/>
  <c r="G24" i="10" s="1"/>
  <c r="E23" i="10"/>
  <c r="G23" i="10" s="1"/>
  <c r="E22" i="10"/>
  <c r="G22" i="10" s="1"/>
  <c r="E21" i="10"/>
  <c r="G21" i="10" s="1"/>
  <c r="E20" i="10"/>
  <c r="G20" i="10" s="1"/>
  <c r="E19" i="10"/>
  <c r="G19" i="10" s="1"/>
  <c r="E18" i="10"/>
  <c r="G18" i="10" s="1"/>
  <c r="E17" i="10"/>
  <c r="G17" i="10" s="1"/>
  <c r="E16" i="10"/>
  <c r="G16" i="10" s="1"/>
  <c r="E15" i="10"/>
  <c r="G15" i="10" s="1"/>
  <c r="E14" i="10"/>
  <c r="G14" i="10" s="1"/>
  <c r="E13" i="10"/>
  <c r="G13" i="10" s="1"/>
  <c r="E12" i="10"/>
  <c r="G12" i="10" s="1"/>
  <c r="E11" i="10"/>
  <c r="G11" i="10" s="1"/>
  <c r="E10" i="10"/>
  <c r="G10" i="10" s="1"/>
  <c r="E9" i="10"/>
  <c r="G9" i="10" s="1"/>
  <c r="E8" i="10"/>
  <c r="G8" i="10" s="1"/>
  <c r="E7" i="10"/>
  <c r="G7" i="10" s="1"/>
  <c r="E6" i="10"/>
  <c r="G6" i="10" s="1"/>
  <c r="F19" i="9"/>
  <c r="F20" i="9"/>
  <c r="D6" i="9"/>
  <c r="F6" i="9" s="1"/>
  <c r="D7" i="9"/>
  <c r="F7" i="9" s="1"/>
  <c r="D8" i="9"/>
  <c r="F8" i="9" s="1"/>
  <c r="D9" i="9"/>
  <c r="F9" i="9" s="1"/>
  <c r="D10" i="9"/>
  <c r="F10" i="9" s="1"/>
  <c r="D11" i="9"/>
  <c r="F11" i="9" s="1"/>
  <c r="D12" i="9"/>
  <c r="F12" i="9" s="1"/>
  <c r="D13" i="9"/>
  <c r="F13" i="9" s="1"/>
  <c r="D14" i="9"/>
  <c r="F14" i="9" s="1"/>
  <c r="D15" i="9"/>
  <c r="F15" i="9" s="1"/>
  <c r="D16" i="9"/>
  <c r="F16" i="9" s="1"/>
  <c r="D17" i="9"/>
  <c r="F17" i="9" s="1"/>
  <c r="D18" i="9"/>
  <c r="F18" i="9" s="1"/>
  <c r="D19" i="9"/>
  <c r="D20" i="9"/>
  <c r="D21" i="9"/>
  <c r="F21" i="9" s="1"/>
  <c r="D22" i="9"/>
  <c r="F22" i="9" s="1"/>
  <c r="D23" i="9"/>
  <c r="F23" i="9" s="1"/>
  <c r="D24" i="9"/>
  <c r="F24" i="9" s="1"/>
  <c r="D25" i="9"/>
  <c r="F25" i="9" s="1"/>
  <c r="D26" i="9"/>
  <c r="F26" i="9" s="1"/>
  <c r="D5" i="9"/>
  <c r="F5" i="9" s="1"/>
  <c r="P8" i="8"/>
  <c r="O9" i="8"/>
  <c r="P9" i="8" s="1"/>
  <c r="Q9" i="8" s="1"/>
  <c r="P9" i="7" s="1"/>
  <c r="O10" i="8"/>
  <c r="P10" i="8" s="1"/>
  <c r="Q10" i="8" s="1"/>
  <c r="P10" i="7" s="1"/>
  <c r="O11" i="8"/>
  <c r="P11" i="8" s="1"/>
  <c r="Q11" i="8" s="1"/>
  <c r="O12" i="8"/>
  <c r="P12" i="8" s="1"/>
  <c r="Q12" i="8" s="1"/>
  <c r="P15" i="8"/>
  <c r="Q15" i="8" s="1"/>
  <c r="P16" i="8"/>
  <c r="Q16" i="8" s="1"/>
  <c r="P17" i="8"/>
  <c r="Q17" i="8" s="1"/>
  <c r="E21" i="7"/>
  <c r="G21" i="7" s="1"/>
  <c r="E24" i="7" s="1"/>
  <c r="E16" i="7"/>
  <c r="F16" i="7" s="1"/>
  <c r="G16" i="7" s="1"/>
  <c r="G23" i="4"/>
  <c r="H23" i="4" s="1"/>
  <c r="C18" i="4"/>
  <c r="D18" i="4" s="1"/>
  <c r="C19" i="4"/>
  <c r="D19" i="4" s="1"/>
  <c r="C20" i="4"/>
  <c r="D20" i="4" s="1"/>
  <c r="C22" i="4"/>
  <c r="D22" i="4" s="1"/>
  <c r="C23" i="4"/>
  <c r="D23" i="4" s="1"/>
  <c r="Q8" i="8" l="1"/>
  <c r="P8" i="7" s="1"/>
  <c r="G2" i="4"/>
  <c r="H2" i="4" s="1"/>
  <c r="G29" i="4"/>
  <c r="H29" i="4" s="1"/>
  <c r="C2" i="4"/>
  <c r="D2" i="4" s="1"/>
  <c r="C29" i="4"/>
  <c r="O10" i="3"/>
  <c r="C6" i="4"/>
  <c r="D6" i="4" s="1"/>
  <c r="D30" i="4"/>
  <c r="C7" i="4"/>
  <c r="D7" i="4" s="1"/>
  <c r="D31" i="4"/>
  <c r="I4" i="3"/>
  <c r="D29" i="4"/>
  <c r="M9" i="7"/>
  <c r="N9" i="7" s="1"/>
  <c r="M8" i="7"/>
  <c r="N8" i="7" s="1"/>
  <c r="S8" i="8" s="1"/>
  <c r="P10" i="3"/>
  <c r="O9" i="3"/>
  <c r="D4" i="4"/>
  <c r="O8" i="3"/>
  <c r="C3" i="4"/>
  <c r="D3" i="4" s="1"/>
  <c r="G3" i="4"/>
  <c r="H3" i="4" s="1"/>
  <c r="P8" i="3"/>
  <c r="M10" i="7"/>
  <c r="N10" i="7" s="1"/>
  <c r="C5" i="4"/>
  <c r="D5" i="4" s="1"/>
  <c r="N61" i="8" l="1"/>
  <c r="P9" i="3"/>
  <c r="G31" i="4"/>
  <c r="H31" i="4" s="1"/>
  <c r="S16" i="8"/>
  <c r="S9" i="8"/>
  <c r="S15" i="8"/>
  <c r="S10" i="8"/>
  <c r="S17" i="8"/>
  <c r="G4" i="4"/>
  <c r="H4" i="4" s="1"/>
  <c r="P12" i="3"/>
  <c r="P11" i="3"/>
  <c r="O12" i="3"/>
  <c r="O11" i="3"/>
  <c r="T15" i="8" l="1"/>
  <c r="T8" i="8"/>
</calcChain>
</file>

<file path=xl/sharedStrings.xml><?xml version="1.0" encoding="utf-8"?>
<sst xmlns="http://schemas.openxmlformats.org/spreadsheetml/2006/main" count="138" uniqueCount="100">
  <si>
    <t>Scan Rate</t>
  </si>
  <si>
    <t xml:space="preserve">Oxidation Peak Corrected for basline </t>
  </si>
  <si>
    <t>Reduction Peak  Corrected for Baseline</t>
  </si>
  <si>
    <t xml:space="preserve">Oxidation Ep </t>
  </si>
  <si>
    <t xml:space="preserve">E 1/2 </t>
  </si>
  <si>
    <t xml:space="preserve">E0 </t>
  </si>
  <si>
    <t xml:space="preserve">Reduction Ep </t>
  </si>
  <si>
    <t xml:space="preserve">Log(scan rate) </t>
  </si>
  <si>
    <t>Standard Electrode Potential E0</t>
  </si>
  <si>
    <t>Oxidation</t>
  </si>
  <si>
    <t>Reduction</t>
  </si>
  <si>
    <t>Average</t>
  </si>
  <si>
    <t>Sdev</t>
  </si>
  <si>
    <t>Oxidation Ep</t>
  </si>
  <si>
    <t>Oxidation E0</t>
  </si>
  <si>
    <t>Ep-E0</t>
  </si>
  <si>
    <t>Reduction E0</t>
  </si>
  <si>
    <t>x=0.2</t>
  </si>
  <si>
    <t>Slope = -2.3RT/anF</t>
  </si>
  <si>
    <t xml:space="preserve">Reduced </t>
  </si>
  <si>
    <t>Oxidised</t>
  </si>
  <si>
    <t xml:space="preserve">n= electron transfer =1 </t>
  </si>
  <si>
    <t>F= Faraday constant =96485.332</t>
  </si>
  <si>
    <t>a= heterogeneous rate constant = between 0 and 1</t>
  </si>
  <si>
    <t xml:space="preserve">R = rate constant =8.314 </t>
  </si>
  <si>
    <t xml:space="preserve">slope -0.02980 =  -2.3RT / anF </t>
  </si>
  <si>
    <t>slope  0.008563 = -2.3RT/ anF</t>
  </si>
  <si>
    <t>T= temperature =293</t>
  </si>
  <si>
    <t xml:space="preserve">n x F </t>
  </si>
  <si>
    <t xml:space="preserve">R x T </t>
  </si>
  <si>
    <t>when plotting from 0</t>
  </si>
  <si>
    <t>thus  -0.0298 = -2.3*2436.002/96485.33a</t>
  </si>
  <si>
    <t>thus 0.008563= -2.3*2436.002/96485.33a</t>
  </si>
  <si>
    <t xml:space="preserve">alpha = -5602.8046/ (slope x 96485.33) </t>
  </si>
  <si>
    <t>equation  -0.0298 = -5602.8/ 96485.33a</t>
  </si>
  <si>
    <t>equation  0.008563= -5602.8/ 96485.33a</t>
  </si>
  <si>
    <t xml:space="preserve">slope = -5602.8 / (96485.33 * a) </t>
  </si>
  <si>
    <t>Reduced heterogenous rate constant = 0.850703</t>
  </si>
  <si>
    <t>Oxidised heterogenous rate constant = 0.008563</t>
  </si>
  <si>
    <t>akhil -0.06483   a=0.895712</t>
  </si>
  <si>
    <t xml:space="preserve">akhil 0.03396 a= -1.709923 </t>
  </si>
  <si>
    <t xml:space="preserve">ALPHA= 0.850703 </t>
  </si>
  <si>
    <t>JP ALPHA 0.995</t>
  </si>
  <si>
    <t>Peak separation(n∆Ep)</t>
  </si>
  <si>
    <t>-(alpha2*F/RT)*PS</t>
  </si>
  <si>
    <t>PSI</t>
  </si>
  <si>
    <t>(value)^-0.5</t>
  </si>
  <si>
    <r>
      <t>a.</t>
    </r>
    <r>
      <rPr>
        <sz val="7"/>
        <color theme="1"/>
        <rFont val="Times New Roman"/>
        <family val="1"/>
      </rPr>
      <t xml:space="preserve">     </t>
    </r>
  </si>
  <si>
    <t>a=alpha</t>
  </si>
  <si>
    <t>F=96485.332</t>
  </si>
  <si>
    <t>R=8.314</t>
  </si>
  <si>
    <t>alpha/pi</t>
  </si>
  <si>
    <t>alpha/pi^0.5</t>
  </si>
  <si>
    <t>2.18*alpha/pi^0.5</t>
  </si>
  <si>
    <t>T=293</t>
  </si>
  <si>
    <t>n=1</t>
  </si>
  <si>
    <t xml:space="preserve">∆Ep=peak separation </t>
  </si>
  <si>
    <t>A squared</t>
  </si>
  <si>
    <t>A2*F</t>
  </si>
  <si>
    <t>RT= 2436.002</t>
  </si>
  <si>
    <t>A2*F/RT</t>
  </si>
  <si>
    <t xml:space="preserve"> [πDnvF/(RT)]-0.5</t>
  </si>
  <si>
    <t xml:space="preserve">D diffusion coefficient </t>
  </si>
  <si>
    <t>D=diffusion coefficient</t>
  </si>
  <si>
    <t>for ox</t>
  </si>
  <si>
    <t>Calculating x axis</t>
  </si>
  <si>
    <t>OX</t>
  </si>
  <si>
    <t>Oxidised sample divided by Reduced</t>
  </si>
  <si>
    <t>n=electron transfer</t>
  </si>
  <si>
    <t>D for Randles-Sevcik equation</t>
  </si>
  <si>
    <t>303117.6102 x v x D</t>
  </si>
  <si>
    <t>(303117.6102 x v x D)/RT</t>
  </si>
  <si>
    <t xml:space="preserve">ELECTRON TRANSFER RATE </t>
  </si>
  <si>
    <t xml:space="preserve">v=scan rate </t>
  </si>
  <si>
    <t>RED</t>
  </si>
  <si>
    <t>R= 8.314</t>
  </si>
  <si>
    <t>fo red</t>
  </si>
  <si>
    <t xml:space="preserve">y axis = psi calculations </t>
  </si>
  <si>
    <t xml:space="preserve">C0 =129 nM </t>
  </si>
  <si>
    <t>F= 96485.332</t>
  </si>
  <si>
    <t>where, nM = nanomolar i.e. 10^-9 M</t>
  </si>
  <si>
    <t>v= scan rate</t>
  </si>
  <si>
    <t>A = 1 cm^2</t>
  </si>
  <si>
    <t>C0 = 1.29 x 10^-7</t>
  </si>
  <si>
    <t>0.01Vs OX</t>
  </si>
  <si>
    <t>/</t>
  </si>
  <si>
    <t>0.005Vs OX</t>
  </si>
  <si>
    <t>0.0025Vs OX</t>
  </si>
  <si>
    <t>Cocnentration</t>
  </si>
  <si>
    <t>Conc*scan rate</t>
  </si>
  <si>
    <t>peak current</t>
  </si>
  <si>
    <t>peak current/(conc*scan rate)</t>
  </si>
  <si>
    <t xml:space="preserve">a=alpha </t>
  </si>
  <si>
    <t>alpha</t>
  </si>
  <si>
    <t>alpha / pi</t>
  </si>
  <si>
    <t>(alpha/pi)^0.5</t>
  </si>
  <si>
    <t>(alpha/pi)^0.5*2.18</t>
  </si>
  <si>
    <t xml:space="preserve">alpha squared </t>
  </si>
  <si>
    <t>a2 * F</t>
  </si>
  <si>
    <t>a2 * F /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</si>
</sst>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 vertical="center" indent="8"/>
    </xf>
    <xf numFmtId="49" fontId="0" fillId="0" borderId="0" xfId="0" applyNumberFormat="1"/>
    <xf numFmtId="11" fontId="0" fillId="0" borderId="0" xfId="0" applyNumberFormat="1"/>
    <xf numFmtId="164" fontId="0" fillId="0" borderId="0" xfId="0" applyNumberFormat="1"/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5</xdr:row>
      <xdr:rowOff>25400</xdr:rowOff>
    </xdr:from>
    <xdr:to>
      <xdr:col>7</xdr:col>
      <xdr:colOff>177800</xdr:colOff>
      <xdr:row>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789909-B0DB-BC44-8320-B117ECCE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1041400"/>
          <a:ext cx="535940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673100</xdr:colOff>
      <xdr:row>4</xdr:row>
      <xdr:rowOff>25400</xdr:rowOff>
    </xdr:from>
    <xdr:to>
      <xdr:col>8</xdr:col>
      <xdr:colOff>444500</xdr:colOff>
      <xdr:row>11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F09FE7-BD20-3F43-AD27-F22E5738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838200"/>
          <a:ext cx="3898900" cy="143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812800</xdr:colOff>
      <xdr:row>2</xdr:row>
      <xdr:rowOff>38100</xdr:rowOff>
    </xdr:from>
    <xdr:to>
      <xdr:col>8</xdr:col>
      <xdr:colOff>139700</xdr:colOff>
      <xdr:row>6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FF5E5-CB46-A442-A4C2-B4C5EAB3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444500"/>
          <a:ext cx="5105400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8EAE-A6B5-1E40-8A61-D458F8B9DEB5}">
  <dimension ref="A1:E24"/>
  <sheetViews>
    <sheetView zoomScale="182" workbookViewId="0">
      <selection activeCell="B4" sqref="B4"/>
    </sheetView>
  </sheetViews>
  <sheetFormatPr defaultColWidth="11" defaultRowHeight="15.95"/>
  <cols>
    <col min="2" max="2" width="30.625" customWidth="1"/>
    <col min="4" max="4" width="15.625" customWidth="1"/>
  </cols>
  <sheetData>
    <row r="1" spans="1:5">
      <c r="A1" s="1" t="s">
        <v>0</v>
      </c>
      <c r="B1" s="1" t="s">
        <v>1</v>
      </c>
      <c r="C1" s="1"/>
      <c r="D1" s="1"/>
      <c r="E1" s="1"/>
    </row>
    <row r="2" spans="1:5">
      <c r="A2" s="1">
        <v>0.01</v>
      </c>
      <c r="B2" s="7">
        <v>1.296E-8</v>
      </c>
      <c r="C2" s="8">
        <f>B2*1000000</f>
        <v>1.2959999999999999E-2</v>
      </c>
    </row>
    <row r="3" spans="1:5">
      <c r="A3" s="1">
        <v>2.5000000000000001E-2</v>
      </c>
      <c r="B3" s="7">
        <v>1.3799999999999999E-8</v>
      </c>
      <c r="C3" s="8">
        <f t="shared" ref="C3" si="0">B3*1000000</f>
        <v>1.38E-2</v>
      </c>
    </row>
    <row r="4" spans="1:5">
      <c r="A4" s="1">
        <v>0.05</v>
      </c>
      <c r="B4" s="7">
        <v>1.03719E-8</v>
      </c>
      <c r="C4" s="8">
        <f>B4*1000000</f>
        <v>1.03719E-2</v>
      </c>
    </row>
    <row r="8" spans="1:5">
      <c r="A8" s="1"/>
    </row>
    <row r="9" spans="1:5">
      <c r="A9" s="1"/>
    </row>
    <row r="10" spans="1:5">
      <c r="A10" s="1"/>
    </row>
    <row r="11" spans="1:5">
      <c r="A11" s="1"/>
    </row>
    <row r="12" spans="1:5">
      <c r="A12" s="1"/>
    </row>
    <row r="13" spans="1:5">
      <c r="A13" s="1"/>
    </row>
    <row r="14" spans="1:5">
      <c r="A14" s="1"/>
    </row>
    <row r="15" spans="1:5">
      <c r="A15" s="1"/>
    </row>
    <row r="16" spans="1:5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996C-DE77-594C-824A-BC4C45DA69A7}">
  <dimension ref="A1:D24"/>
  <sheetViews>
    <sheetView zoomScale="200" workbookViewId="0">
      <selection activeCell="B4" sqref="B4"/>
    </sheetView>
  </sheetViews>
  <sheetFormatPr defaultColWidth="11" defaultRowHeight="15.95"/>
  <cols>
    <col min="2" max="2" width="30.125" customWidth="1"/>
    <col min="4" max="4" width="16.375" customWidth="1"/>
  </cols>
  <sheetData>
    <row r="1" spans="1:4">
      <c r="A1" s="1" t="s">
        <v>0</v>
      </c>
      <c r="B1" s="1" t="s">
        <v>2</v>
      </c>
      <c r="C1" s="1"/>
      <c r="D1" s="1"/>
    </row>
    <row r="2" spans="1:4">
      <c r="A2" s="1">
        <v>0.01</v>
      </c>
      <c r="B2" s="7">
        <v>-6.5949999999999997E-9</v>
      </c>
      <c r="C2" s="8">
        <f>B2*1000000</f>
        <v>-6.5949999999999993E-3</v>
      </c>
    </row>
    <row r="3" spans="1:4">
      <c r="A3" s="1">
        <v>2.5000000000000001E-2</v>
      </c>
      <c r="B3" s="7">
        <v>-7.4600000000000003E-9</v>
      </c>
      <c r="C3" s="8">
        <f t="shared" ref="C3:C4" si="0">B3*1000000</f>
        <v>-7.4600000000000005E-3</v>
      </c>
    </row>
    <row r="4" spans="1:4">
      <c r="A4" s="1">
        <v>0.05</v>
      </c>
      <c r="B4" s="7">
        <v>-6.2283700000000001E-9</v>
      </c>
      <c r="C4" s="8">
        <f t="shared" si="0"/>
        <v>-6.2283700000000004E-3</v>
      </c>
    </row>
    <row r="8" spans="1:4">
      <c r="A8" s="1"/>
    </row>
    <row r="9" spans="1:4">
      <c r="A9" s="1"/>
    </row>
    <row r="10" spans="1:4">
      <c r="A10" s="1"/>
    </row>
    <row r="11" spans="1:4">
      <c r="A11" s="1"/>
    </row>
    <row r="12" spans="1:4">
      <c r="A12" s="1"/>
    </row>
    <row r="13" spans="1:4">
      <c r="A13" s="1"/>
    </row>
    <row r="14" spans="1:4">
      <c r="A14" s="1"/>
    </row>
    <row r="15" spans="1:4">
      <c r="A15" s="1"/>
    </row>
    <row r="16" spans="1:4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AE0C-93BD-C14C-8990-CBBD30C28AF6}">
  <dimension ref="A1:P29"/>
  <sheetViews>
    <sheetView zoomScale="112" workbookViewId="0">
      <selection activeCell="G2" sqref="G2"/>
    </sheetView>
  </sheetViews>
  <sheetFormatPr defaultColWidth="11" defaultRowHeight="15.95"/>
  <sheetData>
    <row r="1" spans="1:16">
      <c r="A1" s="1" t="s">
        <v>0</v>
      </c>
      <c r="B1" s="1" t="s">
        <v>3</v>
      </c>
      <c r="C1" s="1" t="s">
        <v>4</v>
      </c>
      <c r="D1" s="1" t="s">
        <v>5</v>
      </c>
      <c r="F1" s="1" t="s">
        <v>0</v>
      </c>
      <c r="G1" s="1" t="s">
        <v>6</v>
      </c>
      <c r="H1" s="1" t="s">
        <v>4</v>
      </c>
      <c r="I1" s="1" t="s">
        <v>5</v>
      </c>
      <c r="K1" s="1" t="s">
        <v>7</v>
      </c>
    </row>
    <row r="2" spans="1:16">
      <c r="A2" s="1">
        <v>0.01</v>
      </c>
      <c r="B2">
        <v>6.1800000000000001E-2</v>
      </c>
      <c r="C2">
        <f t="shared" ref="C2:C4" si="0">B2*0.5</f>
        <v>3.09E-2</v>
      </c>
      <c r="D2">
        <f>C2+0.025247382</f>
        <v>5.6147381999999996E-2</v>
      </c>
      <c r="F2" s="1">
        <v>0.01</v>
      </c>
      <c r="G2">
        <v>5.2490000000000002E-2</v>
      </c>
      <c r="H2">
        <f t="shared" ref="H2:H4" si="1">G2*0.5</f>
        <v>2.6245000000000001E-2</v>
      </c>
      <c r="I2">
        <f>H2+0.025247382</f>
        <v>5.1492382000000003E-2</v>
      </c>
      <c r="K2">
        <f>LOG(A2)</f>
        <v>-2</v>
      </c>
    </row>
    <row r="3" spans="1:16">
      <c r="A3" s="1">
        <v>2.5000000000000001E-2</v>
      </c>
      <c r="B3">
        <v>6.1800000000000001E-2</v>
      </c>
      <c r="C3">
        <f t="shared" si="0"/>
        <v>3.09E-2</v>
      </c>
      <c r="D3">
        <f>C3+0.025247382</f>
        <v>5.6147381999999996E-2</v>
      </c>
      <c r="F3" s="1">
        <v>2.5000000000000001E-2</v>
      </c>
      <c r="G3">
        <v>5.2490000000000002E-2</v>
      </c>
      <c r="H3">
        <f t="shared" si="1"/>
        <v>2.6245000000000001E-2</v>
      </c>
      <c r="I3">
        <f t="shared" ref="I3:I4" si="2">H3+0.025247382</f>
        <v>5.1492382000000003E-2</v>
      </c>
      <c r="K3">
        <f t="shared" ref="K3:K4" si="3">LOG(A3)</f>
        <v>-1.6020599913279623</v>
      </c>
      <c r="N3" s="1" t="s">
        <v>8</v>
      </c>
    </row>
    <row r="4" spans="1:16">
      <c r="A4" s="1">
        <v>0.05</v>
      </c>
      <c r="B4">
        <v>4.6690000000000002E-2</v>
      </c>
      <c r="C4">
        <f t="shared" si="0"/>
        <v>2.3345000000000001E-2</v>
      </c>
      <c r="D4">
        <f>C4+0.025247382</f>
        <v>4.8592382000000003E-2</v>
      </c>
      <c r="F4" s="1">
        <v>0.05</v>
      </c>
      <c r="G4">
        <v>9.2770000000000005E-2</v>
      </c>
      <c r="H4">
        <f t="shared" si="1"/>
        <v>4.6385000000000003E-2</v>
      </c>
      <c r="I4">
        <f t="shared" si="2"/>
        <v>7.1632381999999994E-2</v>
      </c>
      <c r="K4">
        <f t="shared" si="3"/>
        <v>-1.3010299956639813</v>
      </c>
    </row>
    <row r="7" spans="1:16">
      <c r="O7" t="s">
        <v>9</v>
      </c>
      <c r="P7" t="s">
        <v>10</v>
      </c>
    </row>
    <row r="8" spans="1:16">
      <c r="A8" s="1"/>
      <c r="F8" s="1"/>
      <c r="N8" s="2">
        <v>0.1</v>
      </c>
      <c r="O8">
        <f>D3</f>
        <v>5.6147381999999996E-2</v>
      </c>
      <c r="P8">
        <f>I3</f>
        <v>5.1492382000000003E-2</v>
      </c>
    </row>
    <row r="9" spans="1:16">
      <c r="A9" s="1"/>
      <c r="F9" s="1"/>
      <c r="N9" s="2">
        <v>0.2</v>
      </c>
      <c r="O9">
        <f>D4</f>
        <v>4.8592382000000003E-2</v>
      </c>
      <c r="P9">
        <f>I4</f>
        <v>7.1632381999999994E-2</v>
      </c>
    </row>
    <row r="10" spans="1:16">
      <c r="A10" s="1"/>
      <c r="F10" s="1"/>
      <c r="N10" s="2">
        <v>0.3</v>
      </c>
      <c r="O10">
        <f>D5</f>
        <v>0</v>
      </c>
      <c r="P10">
        <f>I5</f>
        <v>0</v>
      </c>
    </row>
    <row r="11" spans="1:16">
      <c r="A11" s="1"/>
      <c r="F11" s="1"/>
      <c r="N11" s="2" t="s">
        <v>11</v>
      </c>
      <c r="O11">
        <f>AVERAGE(O8:O10)</f>
        <v>3.4913254666666664E-2</v>
      </c>
      <c r="P11">
        <f>AVERAGE(P8:P10)</f>
        <v>4.1041587999999997E-2</v>
      </c>
    </row>
    <row r="12" spans="1:16">
      <c r="A12" s="1"/>
      <c r="F12" s="1"/>
      <c r="N12" s="2" t="s">
        <v>12</v>
      </c>
      <c r="O12">
        <f>_xlfn.STDEV.S(O8:O10)</f>
        <v>3.0470822434168744E-2</v>
      </c>
      <c r="P12">
        <f>_xlfn.STDEV.S(P8:P10)</f>
        <v>3.6942033771454809E-2</v>
      </c>
    </row>
    <row r="13" spans="1:16">
      <c r="A13" s="1"/>
      <c r="F13" s="1"/>
    </row>
    <row r="14" spans="1:16">
      <c r="A14" s="1"/>
      <c r="F14" s="1"/>
    </row>
    <row r="15" spans="1:16">
      <c r="A15" s="1"/>
      <c r="F15" s="1"/>
    </row>
    <row r="16" spans="1:16">
      <c r="A16" s="1"/>
      <c r="F16" s="1"/>
    </row>
    <row r="17" spans="1:6">
      <c r="A17" s="1"/>
      <c r="F17" s="1"/>
    </row>
    <row r="18" spans="1:6">
      <c r="A18" s="1"/>
      <c r="F18" s="1"/>
    </row>
    <row r="19" spans="1:6">
      <c r="A19" s="1"/>
      <c r="F19" s="1"/>
    </row>
    <row r="20" spans="1:6">
      <c r="A20" s="1"/>
      <c r="F20" s="1"/>
    </row>
    <row r="21" spans="1:6">
      <c r="A21" s="1"/>
      <c r="F21" s="1"/>
    </row>
    <row r="22" spans="1:6">
      <c r="A22" s="1"/>
      <c r="F22" s="1"/>
    </row>
    <row r="23" spans="1:6">
      <c r="A23" s="1"/>
      <c r="F23" s="1"/>
    </row>
    <row r="24" spans="1:6">
      <c r="A24" s="1"/>
      <c r="F24" s="1"/>
    </row>
    <row r="25" spans="1:6">
      <c r="A25" s="1"/>
      <c r="F25" s="1"/>
    </row>
    <row r="26" spans="1:6">
      <c r="A26" s="1"/>
      <c r="F26" s="1"/>
    </row>
    <row r="29" spans="1:6">
      <c r="B29">
        <v>2.5247381999999999E-2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5EF8-01A4-F947-B420-E5DC69C05506}">
  <dimension ref="A1:M31"/>
  <sheetViews>
    <sheetView workbookViewId="0">
      <selection activeCell="I35" sqref="I35"/>
    </sheetView>
  </sheetViews>
  <sheetFormatPr defaultColWidth="11" defaultRowHeight="15.95"/>
  <sheetData>
    <row r="1" spans="1:13">
      <c r="A1" s="1" t="s">
        <v>0</v>
      </c>
      <c r="B1" s="1" t="s">
        <v>13</v>
      </c>
      <c r="C1" s="1" t="s">
        <v>14</v>
      </c>
      <c r="D1" s="1" t="s">
        <v>15</v>
      </c>
      <c r="F1" s="1" t="s">
        <v>6</v>
      </c>
      <c r="G1" s="1" t="s">
        <v>16</v>
      </c>
      <c r="H1" s="3" t="s">
        <v>15</v>
      </c>
      <c r="I1" s="1"/>
      <c r="K1" s="1"/>
      <c r="M1" s="1"/>
    </row>
    <row r="2" spans="1:13">
      <c r="A2" s="1">
        <v>0.05</v>
      </c>
      <c r="B2">
        <v>8.4080000000000002E-2</v>
      </c>
      <c r="C2">
        <f>'E half'!D2</f>
        <v>5.6147381999999996E-2</v>
      </c>
      <c r="D2">
        <f>B2-C2</f>
        <v>2.7932618000000006E-2</v>
      </c>
      <c r="F2">
        <v>4.4400000000000002E-2</v>
      </c>
      <c r="G2">
        <f>'E half'!I2</f>
        <v>5.1492382000000003E-2</v>
      </c>
      <c r="H2">
        <f>F2-G2</f>
        <v>-7.0923820000000012E-3</v>
      </c>
    </row>
    <row r="3" spans="1:13">
      <c r="A3" s="1">
        <v>0.1</v>
      </c>
      <c r="B3">
        <v>9.171E-2</v>
      </c>
      <c r="C3">
        <f>'E half'!D3</f>
        <v>5.6147381999999996E-2</v>
      </c>
      <c r="D3">
        <f t="shared" ref="D3:D23" si="0">B3-C3</f>
        <v>3.5562618000000004E-2</v>
      </c>
      <c r="F3">
        <v>4.4400000000000002E-2</v>
      </c>
      <c r="G3">
        <f>'E half'!I3</f>
        <v>5.1492382000000003E-2</v>
      </c>
      <c r="H3">
        <f t="shared" ref="H3:H23" si="1">F3-G3</f>
        <v>-7.0923820000000012E-3</v>
      </c>
    </row>
    <row r="4" spans="1:13">
      <c r="A4" s="1">
        <v>0.2</v>
      </c>
      <c r="B4">
        <v>7.9500000000000001E-2</v>
      </c>
      <c r="C4">
        <f>'E half'!D4</f>
        <v>4.8592382000000003E-2</v>
      </c>
      <c r="D4">
        <f t="shared" si="0"/>
        <v>3.0907617999999998E-2</v>
      </c>
      <c r="F4">
        <v>4.5929999999999999E-2</v>
      </c>
      <c r="G4">
        <f>'E half'!I4</f>
        <v>7.1632381999999994E-2</v>
      </c>
      <c r="H4">
        <f t="shared" si="1"/>
        <v>-2.5702381999999996E-2</v>
      </c>
    </row>
    <row r="5" spans="1:13">
      <c r="A5" s="1">
        <v>0.3</v>
      </c>
      <c r="B5">
        <v>8.7739999999999999E-2</v>
      </c>
      <c r="C5">
        <f>'E half'!D5</f>
        <v>0</v>
      </c>
      <c r="D5">
        <f t="shared" si="0"/>
        <v>8.7739999999999999E-2</v>
      </c>
      <c r="F5">
        <v>4.2419999999999999E-2</v>
      </c>
      <c r="G5">
        <f>'E half'!I5</f>
        <v>0</v>
      </c>
      <c r="H5">
        <f>F5-G5</f>
        <v>4.2419999999999999E-2</v>
      </c>
    </row>
    <row r="6" spans="1:13">
      <c r="A6" s="1">
        <v>0.4</v>
      </c>
      <c r="B6">
        <v>9.0480000000000005E-2</v>
      </c>
      <c r="C6">
        <f>'E half'!D6</f>
        <v>0</v>
      </c>
      <c r="D6">
        <f t="shared" si="0"/>
        <v>9.0480000000000005E-2</v>
      </c>
      <c r="F6">
        <v>3.6929999999999998E-2</v>
      </c>
      <c r="G6">
        <f>'E half'!I6</f>
        <v>0</v>
      </c>
      <c r="H6">
        <f t="shared" si="1"/>
        <v>3.6929999999999998E-2</v>
      </c>
    </row>
    <row r="7" spans="1:13">
      <c r="A7" s="1">
        <v>0.5</v>
      </c>
      <c r="B7">
        <v>9.0480000000000005E-2</v>
      </c>
      <c r="C7">
        <f>'E half'!D7</f>
        <v>0</v>
      </c>
      <c r="D7">
        <f t="shared" si="0"/>
        <v>9.0480000000000005E-2</v>
      </c>
      <c r="F7">
        <v>3.4939999999999999E-2</v>
      </c>
      <c r="G7">
        <f>'E half'!I7</f>
        <v>0</v>
      </c>
      <c r="H7">
        <f t="shared" si="1"/>
        <v>3.4939999999999999E-2</v>
      </c>
    </row>
    <row r="8" spans="1:13">
      <c r="A8" s="1">
        <v>0.6</v>
      </c>
      <c r="B8">
        <v>9.3840000000000007E-2</v>
      </c>
      <c r="C8">
        <f>'E half'!D8</f>
        <v>0</v>
      </c>
      <c r="D8">
        <f t="shared" si="0"/>
        <v>9.3840000000000007E-2</v>
      </c>
      <c r="F8">
        <v>3.9829999999999997E-2</v>
      </c>
      <c r="G8">
        <f>'E half'!I8</f>
        <v>0</v>
      </c>
      <c r="H8">
        <f t="shared" si="1"/>
        <v>3.9829999999999997E-2</v>
      </c>
    </row>
    <row r="9" spans="1:13">
      <c r="A9" s="1">
        <v>0.7</v>
      </c>
      <c r="B9">
        <v>8.7739999999999999E-2</v>
      </c>
      <c r="C9">
        <f>'E half'!D9</f>
        <v>0</v>
      </c>
      <c r="D9">
        <f t="shared" si="0"/>
        <v>8.7739999999999999E-2</v>
      </c>
      <c r="F9">
        <v>3.7379999999999997E-2</v>
      </c>
      <c r="G9">
        <f>'E half'!I9</f>
        <v>0</v>
      </c>
      <c r="H9">
        <f t="shared" si="1"/>
        <v>3.7379999999999997E-2</v>
      </c>
    </row>
    <row r="10" spans="1:13">
      <c r="A10" s="1">
        <v>0.8</v>
      </c>
      <c r="B10">
        <v>8.652E-2</v>
      </c>
      <c r="C10">
        <f>'E half'!D10</f>
        <v>0</v>
      </c>
      <c r="D10">
        <f t="shared" si="0"/>
        <v>8.652E-2</v>
      </c>
      <c r="F10">
        <v>3.8300000000000001E-2</v>
      </c>
      <c r="G10">
        <f>'E half'!I10</f>
        <v>0</v>
      </c>
      <c r="H10">
        <f t="shared" si="1"/>
        <v>3.8300000000000001E-2</v>
      </c>
    </row>
    <row r="11" spans="1:13">
      <c r="A11" s="1">
        <v>0.9</v>
      </c>
      <c r="B11">
        <v>8.591E-2</v>
      </c>
      <c r="C11">
        <f>'E half'!D11</f>
        <v>0</v>
      </c>
      <c r="D11">
        <f t="shared" si="0"/>
        <v>8.591E-2</v>
      </c>
      <c r="F11">
        <v>2.6089999999999999E-2</v>
      </c>
      <c r="G11">
        <f>'E half'!I11</f>
        <v>0</v>
      </c>
      <c r="H11">
        <f t="shared" si="1"/>
        <v>2.6089999999999999E-2</v>
      </c>
    </row>
    <row r="12" spans="1:13">
      <c r="A12" s="1">
        <v>1</v>
      </c>
      <c r="B12">
        <v>0.10009999999999999</v>
      </c>
      <c r="C12">
        <f>'E half'!D12</f>
        <v>0</v>
      </c>
      <c r="D12">
        <f t="shared" si="0"/>
        <v>0.10009999999999999</v>
      </c>
      <c r="F12">
        <v>4.0129999999999999E-2</v>
      </c>
      <c r="G12">
        <f>'E half'!I12</f>
        <v>0</v>
      </c>
      <c r="H12">
        <f t="shared" si="1"/>
        <v>4.0129999999999999E-2</v>
      </c>
    </row>
    <row r="13" spans="1:13">
      <c r="A13" s="1">
        <v>1.2</v>
      </c>
      <c r="B13">
        <v>8.0110000000000001E-2</v>
      </c>
      <c r="C13">
        <f>'E half'!D13</f>
        <v>0</v>
      </c>
      <c r="D13">
        <f t="shared" si="0"/>
        <v>8.0110000000000001E-2</v>
      </c>
      <c r="F13">
        <v>4.0129999999999999E-2</v>
      </c>
      <c r="G13">
        <f>'E half'!I13</f>
        <v>0</v>
      </c>
      <c r="H13">
        <f t="shared" si="1"/>
        <v>4.0129999999999999E-2</v>
      </c>
    </row>
    <row r="14" spans="1:13">
      <c r="A14" s="1">
        <v>1.4</v>
      </c>
      <c r="B14">
        <v>0.10009999999999999</v>
      </c>
      <c r="C14">
        <f>'E half'!D14</f>
        <v>0</v>
      </c>
      <c r="D14">
        <f t="shared" si="0"/>
        <v>0.10009999999999999</v>
      </c>
      <c r="F14">
        <v>2.0140000000000002E-2</v>
      </c>
      <c r="G14">
        <f>'E half'!I14</f>
        <v>0</v>
      </c>
      <c r="H14">
        <f t="shared" si="1"/>
        <v>2.0140000000000002E-2</v>
      </c>
    </row>
    <row r="15" spans="1:13">
      <c r="A15" s="1">
        <v>1.6</v>
      </c>
      <c r="B15">
        <v>8.0110000000000001E-2</v>
      </c>
      <c r="C15">
        <f>'E half'!D15</f>
        <v>0</v>
      </c>
      <c r="D15">
        <f t="shared" si="0"/>
        <v>8.0110000000000001E-2</v>
      </c>
      <c r="F15">
        <v>4.0129999999999999E-2</v>
      </c>
      <c r="G15">
        <f>'E half'!I15</f>
        <v>0</v>
      </c>
      <c r="H15">
        <f t="shared" si="1"/>
        <v>4.0129999999999999E-2</v>
      </c>
    </row>
    <row r="16" spans="1:13">
      <c r="A16" s="1">
        <v>1.8</v>
      </c>
      <c r="B16">
        <v>9.9330000000000002E-2</v>
      </c>
      <c r="C16">
        <f>'E half'!D16</f>
        <v>0</v>
      </c>
      <c r="D16">
        <f t="shared" si="0"/>
        <v>9.9330000000000002E-2</v>
      </c>
      <c r="F16">
        <v>3.9219999999999998E-2</v>
      </c>
      <c r="G16">
        <f>'E half'!I16</f>
        <v>0</v>
      </c>
      <c r="H16">
        <f t="shared" si="1"/>
        <v>3.9219999999999998E-2</v>
      </c>
    </row>
    <row r="17" spans="1:8">
      <c r="A17" s="1">
        <v>2</v>
      </c>
      <c r="B17">
        <v>8.0110000000000001E-2</v>
      </c>
      <c r="C17">
        <f>'E half'!D17</f>
        <v>0</v>
      </c>
      <c r="D17">
        <f t="shared" si="0"/>
        <v>8.0110000000000001E-2</v>
      </c>
      <c r="F17">
        <v>4.0129999999999999E-2</v>
      </c>
      <c r="G17">
        <f>'E half'!I17</f>
        <v>0</v>
      </c>
      <c r="H17">
        <f t="shared" si="1"/>
        <v>4.0129999999999999E-2</v>
      </c>
    </row>
    <row r="18" spans="1:8">
      <c r="A18" s="1">
        <v>2.5</v>
      </c>
      <c r="B18">
        <v>8.0110000000000001E-2</v>
      </c>
      <c r="C18">
        <f>'E half'!D18</f>
        <v>0</v>
      </c>
      <c r="D18">
        <f t="shared" si="0"/>
        <v>8.0110000000000001E-2</v>
      </c>
      <c r="F18">
        <v>4.0129999999999999E-2</v>
      </c>
      <c r="G18">
        <f>'E half'!I18</f>
        <v>0</v>
      </c>
      <c r="H18">
        <f t="shared" si="1"/>
        <v>4.0129999999999999E-2</v>
      </c>
    </row>
    <row r="19" spans="1:8">
      <c r="A19" s="1">
        <v>3</v>
      </c>
      <c r="B19">
        <v>9.9640000000000006E-2</v>
      </c>
      <c r="C19">
        <f>'E half'!D19</f>
        <v>0</v>
      </c>
      <c r="D19">
        <f t="shared" si="0"/>
        <v>9.9640000000000006E-2</v>
      </c>
      <c r="F19">
        <v>-4.5780000000000001E-4</v>
      </c>
      <c r="G19">
        <f>'E half'!I19</f>
        <v>0</v>
      </c>
      <c r="H19">
        <f t="shared" si="1"/>
        <v>-4.5780000000000001E-4</v>
      </c>
    </row>
    <row r="20" spans="1:8">
      <c r="A20" s="1">
        <v>4</v>
      </c>
      <c r="B20">
        <v>0.10009999999999999</v>
      </c>
      <c r="C20">
        <f>'E half'!D20</f>
        <v>0</v>
      </c>
      <c r="D20">
        <f t="shared" si="0"/>
        <v>0.10009999999999999</v>
      </c>
      <c r="F20">
        <v>4.0129999999999999E-2</v>
      </c>
      <c r="G20">
        <f>'E half'!I20</f>
        <v>0</v>
      </c>
      <c r="H20">
        <f t="shared" si="1"/>
        <v>4.0129999999999999E-2</v>
      </c>
    </row>
    <row r="21" spans="1:8">
      <c r="A21" s="1">
        <v>5</v>
      </c>
      <c r="B21">
        <v>0.1198</v>
      </c>
      <c r="C21">
        <f>'E half'!D21</f>
        <v>0</v>
      </c>
      <c r="D21">
        <f t="shared" si="0"/>
        <v>0.1198</v>
      </c>
      <c r="F21">
        <v>4.9739999999999999E-2</v>
      </c>
      <c r="G21">
        <f>'E half'!I21</f>
        <v>0</v>
      </c>
      <c r="H21">
        <f t="shared" si="1"/>
        <v>4.9739999999999999E-2</v>
      </c>
    </row>
    <row r="22" spans="1:8">
      <c r="A22" s="1">
        <v>6</v>
      </c>
      <c r="B22">
        <v>0.12989999999999999</v>
      </c>
      <c r="C22">
        <f>'E half'!D22</f>
        <v>0</v>
      </c>
      <c r="D22">
        <f t="shared" si="0"/>
        <v>0.12989999999999999</v>
      </c>
      <c r="F22">
        <v>3.9829999999999997E-2</v>
      </c>
      <c r="G22">
        <f>'E half'!I22</f>
        <v>0</v>
      </c>
      <c r="H22">
        <f t="shared" si="1"/>
        <v>3.9829999999999997E-2</v>
      </c>
    </row>
    <row r="23" spans="1:8">
      <c r="A23" s="1">
        <v>7</v>
      </c>
      <c r="B23">
        <v>0.10009999999999999</v>
      </c>
      <c r="C23">
        <f>'E half'!D23</f>
        <v>0</v>
      </c>
      <c r="D23">
        <f t="shared" si="0"/>
        <v>0.10009999999999999</v>
      </c>
      <c r="F23">
        <v>1.526E-4</v>
      </c>
      <c r="G23">
        <f>'E half'!I23</f>
        <v>0</v>
      </c>
      <c r="H23">
        <f t="shared" si="1"/>
        <v>1.526E-4</v>
      </c>
    </row>
    <row r="24" spans="1:8">
      <c r="A24" s="1"/>
    </row>
    <row r="25" spans="1:8">
      <c r="A25" s="1"/>
    </row>
    <row r="26" spans="1:8">
      <c r="A26" s="1"/>
    </row>
    <row r="27" spans="1:8">
      <c r="A27" s="1"/>
    </row>
    <row r="28" spans="1:8">
      <c r="A28" s="1"/>
    </row>
    <row r="29" spans="1:8">
      <c r="A29" s="1">
        <v>0.01</v>
      </c>
      <c r="B29">
        <f>'E half'!B2</f>
        <v>6.1800000000000001E-2</v>
      </c>
      <c r="C29">
        <f>'E half'!D2</f>
        <v>5.6147381999999996E-2</v>
      </c>
      <c r="D29">
        <f t="shared" ref="D29:D31" si="2">B29-C29</f>
        <v>5.6526180000000051E-3</v>
      </c>
      <c r="F29">
        <f>'E half'!G2</f>
        <v>5.2490000000000002E-2</v>
      </c>
      <c r="G29">
        <f>'E half'!I2</f>
        <v>5.1492382000000003E-2</v>
      </c>
      <c r="H29">
        <f t="shared" ref="H29:H31" si="3">F29-G29</f>
        <v>9.9761799999999873E-4</v>
      </c>
    </row>
    <row r="30" spans="1:8">
      <c r="A30" s="1">
        <v>2.5000000000000001E-2</v>
      </c>
      <c r="B30">
        <f>'E half'!B3</f>
        <v>6.1800000000000001E-2</v>
      </c>
      <c r="C30">
        <f>'E half'!D3</f>
        <v>5.6147381999999996E-2</v>
      </c>
      <c r="D30">
        <f t="shared" si="2"/>
        <v>5.6526180000000051E-3</v>
      </c>
      <c r="F30">
        <f>'E half'!G3</f>
        <v>5.2490000000000002E-2</v>
      </c>
      <c r="G30">
        <f>'E half'!I3</f>
        <v>5.1492382000000003E-2</v>
      </c>
      <c r="H30">
        <f t="shared" si="3"/>
        <v>9.9761799999999873E-4</v>
      </c>
    </row>
    <row r="31" spans="1:8">
      <c r="A31" s="1">
        <v>0.05</v>
      </c>
      <c r="B31">
        <f>'E half'!B4</f>
        <v>4.6690000000000002E-2</v>
      </c>
      <c r="C31">
        <f>'E half'!D4</f>
        <v>4.8592382000000003E-2</v>
      </c>
      <c r="D31">
        <f t="shared" si="2"/>
        <v>-1.9023820000000011E-3</v>
      </c>
      <c r="F31">
        <f>'E half'!G4</f>
        <v>9.2770000000000005E-2</v>
      </c>
      <c r="G31">
        <f>'E half'!I4</f>
        <v>7.1632381999999994E-2</v>
      </c>
      <c r="H31">
        <f t="shared" si="3"/>
        <v>2.1137618000000011E-2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DE00-0E50-C74B-92BD-E8DFC04174E3}">
  <dimension ref="A1:U26"/>
  <sheetViews>
    <sheetView zoomScale="131" workbookViewId="0">
      <selection activeCell="E27" sqref="E27"/>
    </sheetView>
  </sheetViews>
  <sheetFormatPr defaultColWidth="11" defaultRowHeight="15.95"/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1"/>
      <c r="B2" s="1"/>
      <c r="C2" s="1"/>
      <c r="D2" s="1"/>
      <c r="E2" s="1"/>
      <c r="F2" s="1"/>
      <c r="G2" s="1"/>
      <c r="H2" s="1" t="s">
        <v>17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"/>
      <c r="B4" s="1" t="s">
        <v>18</v>
      </c>
      <c r="C4" s="1"/>
      <c r="D4" s="1"/>
      <c r="E4" s="1"/>
      <c r="F4" s="1"/>
      <c r="G4" s="1"/>
      <c r="H4" s="1" t="s">
        <v>19</v>
      </c>
      <c r="I4" s="1"/>
      <c r="J4" s="1"/>
      <c r="K4" s="1"/>
      <c r="L4" s="1"/>
      <c r="M4" s="1"/>
      <c r="N4" s="1"/>
      <c r="O4" s="1" t="s">
        <v>20</v>
      </c>
      <c r="P4" s="1"/>
      <c r="Q4" s="1"/>
      <c r="R4" s="1"/>
      <c r="S4" s="1"/>
      <c r="T4" s="1"/>
      <c r="U4" s="1"/>
    </row>
    <row r="5" spans="1:21">
      <c r="A5" s="1"/>
      <c r="B5" s="1"/>
      <c r="C5" s="1"/>
      <c r="D5" s="1"/>
      <c r="E5" s="1"/>
      <c r="F5" s="1"/>
      <c r="G5" s="1"/>
      <c r="H5" s="1">
        <v>-2.98E-2</v>
      </c>
      <c r="I5" s="1"/>
      <c r="J5" s="1"/>
      <c r="K5" s="1"/>
      <c r="L5" s="1"/>
      <c r="M5" s="1"/>
      <c r="N5" s="1"/>
      <c r="O5" s="1">
        <v>8.5629999999999994E-3</v>
      </c>
      <c r="P5" s="1"/>
      <c r="Q5" s="1"/>
      <c r="R5" s="1"/>
      <c r="S5" s="1"/>
      <c r="T5" s="1"/>
      <c r="U5" s="1"/>
    </row>
    <row r="6" spans="1:21">
      <c r="A6" s="1"/>
      <c r="B6" s="1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s="1"/>
      <c r="B7" s="1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" t="s">
        <v>24</v>
      </c>
      <c r="C9" s="1"/>
      <c r="D9" s="1"/>
      <c r="E9" s="1"/>
      <c r="F9" s="1"/>
      <c r="G9" s="1"/>
      <c r="H9" s="1" t="s">
        <v>25</v>
      </c>
      <c r="I9" s="1"/>
      <c r="J9" s="1"/>
      <c r="K9" s="1"/>
      <c r="L9" s="1"/>
      <c r="M9" s="1"/>
      <c r="N9" s="1"/>
      <c r="O9" s="1" t="s">
        <v>26</v>
      </c>
      <c r="P9" s="1"/>
      <c r="Q9" s="1"/>
      <c r="R9" s="1"/>
      <c r="S9" s="1"/>
      <c r="T9" s="1"/>
      <c r="U9" s="1"/>
    </row>
    <row r="10" spans="1:21">
      <c r="A10" s="1"/>
      <c r="B10" s="1" t="s">
        <v>27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"/>
      <c r="C11" s="1"/>
      <c r="D11" s="1"/>
      <c r="E11" s="1"/>
      <c r="F11" s="1"/>
      <c r="G11" s="1"/>
      <c r="H11" s="1" t="s">
        <v>28</v>
      </c>
      <c r="I11" s="1">
        <v>96485.331999999995</v>
      </c>
      <c r="J11" s="1"/>
      <c r="K11" s="1" t="s">
        <v>29</v>
      </c>
      <c r="L11" s="1">
        <v>2436.002</v>
      </c>
      <c r="M11" s="1"/>
      <c r="N11" s="1"/>
      <c r="O11" s="1" t="s">
        <v>28</v>
      </c>
      <c r="P11" s="1">
        <v>96485.331999999995</v>
      </c>
      <c r="Q11" s="1"/>
      <c r="R11" s="1" t="s">
        <v>29</v>
      </c>
      <c r="S11" s="1">
        <v>2436.002</v>
      </c>
      <c r="T11" s="1"/>
      <c r="U11" s="1"/>
    </row>
    <row r="12" spans="1:21">
      <c r="A12" s="1"/>
      <c r="B12" s="1" t="s">
        <v>30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s="1"/>
      <c r="B13" s="1"/>
      <c r="C13" s="1"/>
      <c r="D13" s="1"/>
      <c r="E13" s="1"/>
      <c r="F13" s="1"/>
      <c r="G13" s="1"/>
      <c r="H13" s="1" t="s">
        <v>31</v>
      </c>
      <c r="I13" s="1"/>
      <c r="J13" s="1"/>
      <c r="K13" s="1"/>
      <c r="L13" s="1"/>
      <c r="M13" s="1"/>
      <c r="N13" s="1"/>
      <c r="O13" s="1" t="s">
        <v>32</v>
      </c>
      <c r="P13" s="1"/>
      <c r="Q13" s="1"/>
      <c r="R13" s="1"/>
      <c r="S13" s="1"/>
      <c r="T13" s="1"/>
      <c r="U13" s="1"/>
    </row>
    <row r="14" spans="1: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1"/>
      <c r="B15" s="4" t="s">
        <v>33</v>
      </c>
      <c r="C15" s="1"/>
      <c r="D15" s="1"/>
      <c r="E15" s="1"/>
      <c r="F15" s="1"/>
      <c r="G15" s="1"/>
      <c r="H15" s="1" t="s">
        <v>34</v>
      </c>
      <c r="I15" s="1"/>
      <c r="J15" s="1"/>
      <c r="K15" s="1"/>
      <c r="L15" s="1"/>
      <c r="M15" s="1"/>
      <c r="N15" s="1"/>
      <c r="O15" s="1" t="s">
        <v>35</v>
      </c>
      <c r="P15" s="1"/>
      <c r="Q15" s="1"/>
      <c r="R15" s="1"/>
      <c r="S15" s="1"/>
      <c r="T15" s="1"/>
      <c r="U15" s="1"/>
    </row>
    <row r="16" spans="1: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>
      <c r="A17" s="1"/>
      <c r="B17" s="1" t="s">
        <v>36</v>
      </c>
      <c r="C17" s="1"/>
      <c r="D17" s="1"/>
      <c r="E17" s="1"/>
      <c r="F17" s="1"/>
      <c r="G17" s="1"/>
      <c r="H17" s="4" t="s">
        <v>37</v>
      </c>
      <c r="I17" s="4"/>
      <c r="J17" s="4"/>
      <c r="K17" s="4"/>
      <c r="L17" s="4"/>
      <c r="M17" s="1"/>
      <c r="N17" s="1"/>
      <c r="O17" s="4" t="s">
        <v>38</v>
      </c>
      <c r="P17" s="1"/>
      <c r="Q17" s="1"/>
      <c r="R17" s="1"/>
      <c r="S17" s="1"/>
      <c r="T17" s="1"/>
      <c r="U17" s="1"/>
    </row>
    <row r="18" spans="1:21">
      <c r="A18" s="1"/>
      <c r="B18" s="1"/>
      <c r="C18" s="1"/>
      <c r="D18" s="1"/>
      <c r="E18" s="1"/>
      <c r="F18" s="1"/>
      <c r="G18" s="1"/>
      <c r="H18" s="4"/>
      <c r="I18" s="4"/>
      <c r="J18" s="4"/>
      <c r="K18" s="4"/>
      <c r="L18" s="4"/>
      <c r="M18" s="1"/>
      <c r="N18" s="1"/>
      <c r="O18" s="4"/>
      <c r="P18" s="1"/>
      <c r="Q18" s="1"/>
      <c r="R18" s="1"/>
      <c r="S18" s="1"/>
      <c r="T18" s="1"/>
      <c r="U18" s="1"/>
    </row>
    <row r="19" spans="1:21">
      <c r="A19" s="1"/>
      <c r="B19" s="1" t="s">
        <v>39</v>
      </c>
      <c r="C19" s="1"/>
      <c r="D19" s="1"/>
      <c r="E19" s="1"/>
      <c r="F19" s="1"/>
      <c r="G19" s="1"/>
      <c r="H19" s="4"/>
      <c r="I19" s="4"/>
      <c r="J19" s="4"/>
      <c r="K19" s="4"/>
      <c r="L19" s="4"/>
      <c r="M19" s="1"/>
      <c r="N19" s="1"/>
      <c r="O19" s="4"/>
      <c r="P19" s="1"/>
      <c r="Q19" s="1"/>
      <c r="R19" s="1"/>
      <c r="S19" s="1"/>
      <c r="T19" s="1"/>
      <c r="U19" s="1"/>
    </row>
    <row r="20" spans="1:21">
      <c r="A20" s="1"/>
      <c r="B20" s="1" t="s">
        <v>40</v>
      </c>
      <c r="C20" s="1"/>
      <c r="D20" s="1"/>
      <c r="E20" s="1"/>
      <c r="F20" s="1"/>
      <c r="G20" s="1"/>
      <c r="H20" s="4" t="s">
        <v>41</v>
      </c>
      <c r="I20" s="4"/>
      <c r="J20" s="4"/>
      <c r="K20" s="4"/>
      <c r="L20" s="4"/>
      <c r="M20" s="1"/>
      <c r="N20" s="1"/>
      <c r="O20" s="4"/>
      <c r="P20" s="1"/>
      <c r="Q20" s="1"/>
      <c r="R20" s="1"/>
      <c r="S20" s="1"/>
      <c r="T20" s="1"/>
      <c r="U20" s="1"/>
    </row>
    <row r="21" spans="1:21">
      <c r="A21" s="1"/>
      <c r="B21" s="1"/>
      <c r="C21" s="1"/>
      <c r="D21" s="1"/>
      <c r="E21" s="1"/>
      <c r="F21" s="1"/>
      <c r="G21" s="1"/>
      <c r="H21" s="4"/>
      <c r="I21" s="4"/>
      <c r="J21" s="4"/>
      <c r="K21" s="4"/>
      <c r="L21" s="4"/>
      <c r="M21" s="1"/>
      <c r="N21" s="1"/>
      <c r="O21" s="4"/>
      <c r="P21" s="1"/>
      <c r="Q21" s="1"/>
      <c r="R21" s="1"/>
      <c r="S21" s="1"/>
      <c r="T21" s="1"/>
      <c r="U21" s="1"/>
    </row>
    <row r="22" spans="1: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>
      <c r="A23" s="1"/>
      <c r="B23" s="1">
        <v>-5602.8046000000004</v>
      </c>
      <c r="C23" s="1"/>
      <c r="D23" s="1">
        <f>B23/B26</f>
        <v>-6.5444582193124479</v>
      </c>
      <c r="E23" s="1">
        <v>0.87545572000000005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D24" s="1"/>
    </row>
    <row r="25" spans="1:21">
      <c r="G25" t="s">
        <v>42</v>
      </c>
    </row>
    <row r="26" spans="1:21">
      <c r="B26">
        <f>0.008873*I11</f>
        <v>856.11435083599997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AD43-4157-054A-84D4-9005C15BAB4A}">
  <dimension ref="A5:Q27"/>
  <sheetViews>
    <sheetView topLeftCell="C1" workbookViewId="0">
      <selection activeCell="P9" sqref="P9"/>
    </sheetView>
  </sheetViews>
  <sheetFormatPr defaultColWidth="11" defaultRowHeight="15.95"/>
  <cols>
    <col min="7" max="7" width="15.375" customWidth="1"/>
    <col min="12" max="12" width="19.625" customWidth="1"/>
    <col min="13" max="13" width="19.875" customWidth="1"/>
    <col min="16" max="16" width="19" customWidth="1"/>
  </cols>
  <sheetData>
    <row r="5" spans="1:17">
      <c r="I5" s="1" t="s">
        <v>0</v>
      </c>
      <c r="J5" s="1" t="s">
        <v>3</v>
      </c>
      <c r="K5" s="1" t="s">
        <v>6</v>
      </c>
      <c r="L5" s="1" t="s">
        <v>43</v>
      </c>
      <c r="M5" s="6" t="s">
        <v>44</v>
      </c>
      <c r="N5" s="1" t="s">
        <v>45</v>
      </c>
      <c r="P5" s="1" t="s">
        <v>46</v>
      </c>
      <c r="Q5" s="1"/>
    </row>
    <row r="6" spans="1:17">
      <c r="B6" s="5" t="s">
        <v>47</v>
      </c>
      <c r="I6" s="1"/>
    </row>
    <row r="7" spans="1:17">
      <c r="I7" s="1"/>
    </row>
    <row r="8" spans="1:17">
      <c r="I8" s="1">
        <v>0.01</v>
      </c>
      <c r="J8">
        <f>'E half'!B2</f>
        <v>6.1800000000000001E-2</v>
      </c>
      <c r="K8">
        <f>'E half'!G2</f>
        <v>5.2490000000000002E-2</v>
      </c>
      <c r="L8">
        <f t="shared" ref="L8:L10" si="0">J8-K8</f>
        <v>9.3099999999999988E-3</v>
      </c>
      <c r="M8">
        <f>L8*E24</f>
        <v>-9.2187777444353469E-2</v>
      </c>
      <c r="N8">
        <f>G16*EXP(M8)</f>
        <v>0.7931035912004889</v>
      </c>
      <c r="P8">
        <f>'PSI graph'!Q8</f>
        <v>869603686.99364173</v>
      </c>
    </row>
    <row r="9" spans="1:17">
      <c r="I9" s="1">
        <v>2.5000000000000001E-2</v>
      </c>
      <c r="J9">
        <f>'E half'!B3</f>
        <v>6.1800000000000001E-2</v>
      </c>
      <c r="K9">
        <f>'E half'!G3</f>
        <v>5.2490000000000002E-2</v>
      </c>
      <c r="L9">
        <f t="shared" si="0"/>
        <v>9.3099999999999988E-3</v>
      </c>
      <c r="M9">
        <f>L9*E24</f>
        <v>-9.2187777444353469E-2</v>
      </c>
      <c r="N9">
        <f>G16*EXP(M9)</f>
        <v>0.7931035912004889</v>
      </c>
      <c r="P9">
        <f>'PSI graph'!Q9</f>
        <v>518102435.70348722</v>
      </c>
    </row>
    <row r="10" spans="1:17">
      <c r="I10" s="1">
        <v>0.05</v>
      </c>
      <c r="J10">
        <f>'E half'!B4</f>
        <v>4.6690000000000002E-2</v>
      </c>
      <c r="K10">
        <f>'E half'!G4</f>
        <v>9.2770000000000005E-2</v>
      </c>
      <c r="L10">
        <f t="shared" si="0"/>
        <v>-4.6080000000000003E-2</v>
      </c>
      <c r="M10">
        <f>L10*E24</f>
        <v>0.45628493927344882</v>
      </c>
      <c r="N10">
        <f>G16*EXP(M10)</f>
        <v>1.3725513166319583</v>
      </c>
      <c r="P10">
        <f>'PSI graph'!Q10</f>
        <v>486123239.40055799</v>
      </c>
    </row>
    <row r="12" spans="1:17">
      <c r="A12">
        <v>96485.331999999995</v>
      </c>
      <c r="I12" s="1"/>
    </row>
    <row r="13" spans="1:17">
      <c r="B13" s="1" t="s">
        <v>48</v>
      </c>
      <c r="C13">
        <v>0.5</v>
      </c>
      <c r="I13" s="1"/>
    </row>
    <row r="14" spans="1:17">
      <c r="B14" s="1" t="s">
        <v>49</v>
      </c>
      <c r="I14" s="1"/>
    </row>
    <row r="15" spans="1:17">
      <c r="B15" s="1" t="s">
        <v>50</v>
      </c>
      <c r="E15" t="s">
        <v>51</v>
      </c>
      <c r="F15" t="s">
        <v>52</v>
      </c>
      <c r="G15" t="s">
        <v>53</v>
      </c>
      <c r="I15" s="1"/>
    </row>
    <row r="16" spans="1:17">
      <c r="B16" s="1" t="s">
        <v>54</v>
      </c>
      <c r="E16">
        <f>C13/PI()</f>
        <v>0.15915494309189535</v>
      </c>
      <c r="F16">
        <f>E16^0.5</f>
        <v>0.3989422804014327</v>
      </c>
      <c r="G16">
        <f>2.18*F16</f>
        <v>0.86969417127512338</v>
      </c>
      <c r="I16" s="1"/>
    </row>
    <row r="17" spans="2:9">
      <c r="B17" s="1" t="s">
        <v>55</v>
      </c>
      <c r="I17" s="1"/>
    </row>
    <row r="18" spans="2:9">
      <c r="B18" s="1" t="s">
        <v>56</v>
      </c>
      <c r="I18" s="1"/>
    </row>
    <row r="19" spans="2:9">
      <c r="B19" s="1"/>
      <c r="I19" s="1"/>
    </row>
    <row r="20" spans="2:9">
      <c r="B20" s="1"/>
      <c r="E20" t="s">
        <v>57</v>
      </c>
      <c r="G20" t="s">
        <v>58</v>
      </c>
      <c r="I20" s="1"/>
    </row>
    <row r="21" spans="2:9">
      <c r="B21" s="1"/>
      <c r="E21">
        <f>C13^2</f>
        <v>0.25</v>
      </c>
      <c r="G21">
        <f>E21*A12</f>
        <v>24121.332999999999</v>
      </c>
      <c r="I21" s="1"/>
    </row>
    <row r="22" spans="2:9">
      <c r="B22" s="1" t="s">
        <v>59</v>
      </c>
      <c r="I22" s="1"/>
    </row>
    <row r="23" spans="2:9">
      <c r="B23">
        <v>2436.002</v>
      </c>
      <c r="E23" t="s">
        <v>60</v>
      </c>
      <c r="I23" s="1"/>
    </row>
    <row r="24" spans="2:9">
      <c r="E24">
        <f>-G21/B23</f>
        <v>-9.9020169113161636</v>
      </c>
      <c r="I24" s="1"/>
    </row>
    <row r="25" spans="2:9">
      <c r="I25" s="1"/>
    </row>
    <row r="26" spans="2:9">
      <c r="I26" s="1"/>
    </row>
    <row r="27" spans="2:9">
      <c r="I27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97D0-322B-234F-9997-8B35B72EB3F5}">
  <dimension ref="A2:V83"/>
  <sheetViews>
    <sheetView tabSelected="1" topLeftCell="F1" zoomScale="114" workbookViewId="0">
      <selection activeCell="S15" sqref="S15:S17"/>
    </sheetView>
  </sheetViews>
  <sheetFormatPr defaultColWidth="11" defaultRowHeight="15.95"/>
  <cols>
    <col min="12" max="12" width="25.875" customWidth="1"/>
    <col min="15" max="15" width="18" customWidth="1"/>
    <col min="16" max="16" width="21.875" customWidth="1"/>
    <col min="19" max="19" width="21" customWidth="1"/>
  </cols>
  <sheetData>
    <row r="2" spans="1:22">
      <c r="A2" s="1" t="s">
        <v>61</v>
      </c>
      <c r="B2" s="1"/>
    </row>
    <row r="3" spans="1:22">
      <c r="A3" s="1"/>
      <c r="B3" s="1"/>
      <c r="E3" s="1" t="s">
        <v>62</v>
      </c>
      <c r="F3" s="1"/>
      <c r="P3" s="1" t="s">
        <v>61</v>
      </c>
      <c r="Q3" s="1"/>
    </row>
    <row r="4" spans="1:22">
      <c r="A4" s="1" t="s">
        <v>63</v>
      </c>
      <c r="B4" s="1"/>
      <c r="J4" t="s">
        <v>64</v>
      </c>
      <c r="O4" s="11" t="s">
        <v>65</v>
      </c>
      <c r="P4" s="11"/>
      <c r="Q4" s="11"/>
      <c r="R4" s="11"/>
      <c r="S4" t="s">
        <v>66</v>
      </c>
      <c r="V4" t="s">
        <v>67</v>
      </c>
    </row>
    <row r="5" spans="1:22">
      <c r="A5" s="1" t="s">
        <v>68</v>
      </c>
      <c r="B5" s="1"/>
      <c r="K5" s="1" t="s">
        <v>0</v>
      </c>
      <c r="L5" t="s">
        <v>69</v>
      </c>
      <c r="O5" s="1" t="s">
        <v>70</v>
      </c>
      <c r="P5" s="1" t="s">
        <v>71</v>
      </c>
      <c r="Q5" s="1" t="s">
        <v>46</v>
      </c>
      <c r="R5" s="1"/>
      <c r="S5" s="1" t="s">
        <v>72</v>
      </c>
    </row>
    <row r="6" spans="1:22">
      <c r="A6" s="1" t="s">
        <v>49</v>
      </c>
      <c r="B6" s="1"/>
      <c r="K6" s="1"/>
      <c r="L6" s="7"/>
      <c r="S6" s="7"/>
    </row>
    <row r="7" spans="1:22">
      <c r="A7" s="1" t="s">
        <v>50</v>
      </c>
      <c r="B7" s="1"/>
      <c r="K7" s="1"/>
      <c r="L7" s="7"/>
      <c r="S7" s="7"/>
    </row>
    <row r="8" spans="1:22">
      <c r="A8" s="1" t="s">
        <v>54</v>
      </c>
      <c r="B8" s="1"/>
      <c r="K8" s="1">
        <v>0.01</v>
      </c>
      <c r="L8" s="7">
        <v>1.06273192548179E-18</v>
      </c>
      <c r="M8" s="7"/>
      <c r="O8" s="7">
        <f>K8*L8*303117.6102</f>
        <v>3.2213276153528467E-15</v>
      </c>
      <c r="P8">
        <f t="shared" ref="P8:P17" si="0">O8/2436.002</f>
        <v>1.3223829928517492E-18</v>
      </c>
      <c r="Q8">
        <f>P8^-0.5</f>
        <v>869603686.99364173</v>
      </c>
      <c r="S8" s="7">
        <f>PSI!N8/Q8</f>
        <v>9.1202878168832769E-10</v>
      </c>
      <c r="T8" s="7">
        <f>AVERAGE(S6:S10)</f>
        <v>1.7554259239845667E-9</v>
      </c>
      <c r="V8" s="7"/>
    </row>
    <row r="9" spans="1:22">
      <c r="A9" s="1" t="s">
        <v>73</v>
      </c>
      <c r="B9" s="1"/>
      <c r="K9" s="1">
        <v>2.5000000000000001E-2</v>
      </c>
      <c r="L9" s="7">
        <v>1.1975542478624401E-18</v>
      </c>
      <c r="M9" s="7"/>
      <c r="O9">
        <f t="shared" ref="O9:O12" si="1">K9*L9*303117.6102</f>
        <v>9.0749945424230332E-15</v>
      </c>
      <c r="P9">
        <f t="shared" si="0"/>
        <v>3.7253641591521816E-18</v>
      </c>
      <c r="Q9">
        <f t="shared" ref="Q9:Q17" si="2">P9^-0.5</f>
        <v>518102435.70348722</v>
      </c>
      <c r="S9" s="7">
        <f>PSI!N9/Q9</f>
        <v>1.5307852975514407E-9</v>
      </c>
    </row>
    <row r="10" spans="1:22">
      <c r="A10" s="1"/>
      <c r="B10" s="1"/>
      <c r="K10" s="1">
        <v>0.05</v>
      </c>
      <c r="L10" s="7">
        <v>6.8014843230834604E-19</v>
      </c>
      <c r="M10" s="7"/>
      <c r="O10">
        <f t="shared" si="1"/>
        <v>1.0308248369129117E-14</v>
      </c>
      <c r="P10">
        <f t="shared" si="0"/>
        <v>4.2316255771256008E-18</v>
      </c>
      <c r="Q10">
        <f t="shared" si="2"/>
        <v>486123239.40055799</v>
      </c>
      <c r="S10" s="7">
        <f>PSI!N10/Q10</f>
        <v>2.8234636927139318E-9</v>
      </c>
    </row>
    <row r="11" spans="1:22">
      <c r="A11" s="1"/>
      <c r="B11" s="1"/>
      <c r="K11" s="1"/>
      <c r="L11" s="7"/>
      <c r="O11">
        <f t="shared" si="1"/>
        <v>0</v>
      </c>
      <c r="P11">
        <f t="shared" si="0"/>
        <v>0</v>
      </c>
      <c r="Q11" t="e">
        <f t="shared" si="2"/>
        <v>#DIV/0!</v>
      </c>
    </row>
    <row r="12" spans="1:22">
      <c r="A12" s="1"/>
      <c r="B12" s="1"/>
      <c r="K12" s="1"/>
      <c r="L12" s="7"/>
      <c r="O12">
        <f t="shared" si="1"/>
        <v>0</v>
      </c>
      <c r="P12">
        <f t="shared" si="0"/>
        <v>0</v>
      </c>
      <c r="Q12" t="e">
        <f t="shared" si="2"/>
        <v>#DIV/0!</v>
      </c>
      <c r="S12" t="s">
        <v>74</v>
      </c>
    </row>
    <row r="13" spans="1:22">
      <c r="A13" s="1"/>
      <c r="B13" s="1"/>
      <c r="D13" s="1" t="s">
        <v>75</v>
      </c>
      <c r="E13" s="1"/>
      <c r="F13" s="1"/>
      <c r="G13" s="1"/>
      <c r="H13" s="1"/>
      <c r="I13" s="1"/>
      <c r="J13" t="s">
        <v>76</v>
      </c>
      <c r="K13" s="1"/>
      <c r="M13" s="1"/>
      <c r="S13" s="7"/>
    </row>
    <row r="14" spans="1:22">
      <c r="A14" s="1" t="s">
        <v>77</v>
      </c>
      <c r="B14" s="1"/>
      <c r="D14" s="1" t="s">
        <v>54</v>
      </c>
      <c r="E14" s="1"/>
      <c r="F14" s="1"/>
      <c r="G14" s="1"/>
      <c r="H14" s="1"/>
      <c r="I14" s="1"/>
      <c r="J14" s="1"/>
      <c r="K14" s="1"/>
      <c r="M14" s="1"/>
      <c r="S14" s="7"/>
    </row>
    <row r="15" spans="1:22">
      <c r="D15" s="1" t="s">
        <v>55</v>
      </c>
      <c r="E15" s="1"/>
      <c r="F15" s="1"/>
      <c r="G15" s="1" t="s">
        <v>78</v>
      </c>
      <c r="H15" s="1"/>
      <c r="J15" s="1"/>
      <c r="K15" s="1">
        <v>0.01</v>
      </c>
      <c r="L15" s="7">
        <v>2.7392072588157798E-19</v>
      </c>
      <c r="M15" s="1"/>
      <c r="O15" s="7">
        <f>K15*L15*303117.6102</f>
        <v>8.3030195813473212E-16</v>
      </c>
      <c r="P15">
        <f t="shared" si="0"/>
        <v>3.4084617259539695E-19</v>
      </c>
      <c r="Q15">
        <f t="shared" si="2"/>
        <v>1712855747.10869</v>
      </c>
      <c r="S15" s="7">
        <f>PSI!N8/Q15</f>
        <v>4.6302999685715048E-10</v>
      </c>
      <c r="T15" s="7">
        <f>AVERAGE(S13:S17)</f>
        <v>9.9396827199822742E-10</v>
      </c>
      <c r="V15" s="7"/>
    </row>
    <row r="16" spans="1:22">
      <c r="D16" s="1" t="s">
        <v>79</v>
      </c>
      <c r="E16" s="1"/>
      <c r="F16" s="1"/>
      <c r="G16" s="1" t="s">
        <v>80</v>
      </c>
      <c r="H16" s="1"/>
      <c r="J16" s="1"/>
      <c r="K16" s="1">
        <v>2.5000000000000001E-2</v>
      </c>
      <c r="L16" s="7">
        <v>3.4995699422569501E-19</v>
      </c>
      <c r="O16" s="7">
        <f>K16*L16*303117.6102</f>
        <v>2.6519531940616971E-15</v>
      </c>
      <c r="P16">
        <f t="shared" si="0"/>
        <v>1.0886498426773449E-18</v>
      </c>
      <c r="Q16">
        <f t="shared" si="2"/>
        <v>958420055.32280457</v>
      </c>
      <c r="S16" s="7">
        <f>PSI!N9/Q16</f>
        <v>8.2751147244447464E-10</v>
      </c>
    </row>
    <row r="17" spans="4:19">
      <c r="D17" s="1" t="s">
        <v>81</v>
      </c>
      <c r="E17" s="1"/>
      <c r="F17" s="1"/>
      <c r="G17" s="1"/>
      <c r="H17" s="1"/>
      <c r="J17" s="1"/>
      <c r="K17" s="1">
        <v>0.05</v>
      </c>
      <c r="L17" s="7">
        <v>2.4406927781379998E-19</v>
      </c>
      <c r="O17" s="7">
        <f>K17*L17*303117.6102</f>
        <v>3.6990848107079467E-15</v>
      </c>
      <c r="P17">
        <f t="shared" si="0"/>
        <v>1.5185064752442513E-18</v>
      </c>
      <c r="Q17">
        <f t="shared" si="2"/>
        <v>811505889.2079941</v>
      </c>
      <c r="S17" s="7">
        <f>PSI!N10/Q17</f>
        <v>1.6913633466930573E-9</v>
      </c>
    </row>
    <row r="18" spans="4:19">
      <c r="D18" s="1" t="s">
        <v>82</v>
      </c>
      <c r="E18" s="1"/>
      <c r="F18" s="1"/>
      <c r="G18" s="1" t="s">
        <v>82</v>
      </c>
      <c r="H18" s="1"/>
      <c r="J18" s="1"/>
      <c r="K18" s="1"/>
      <c r="L18" s="7"/>
    </row>
    <row r="19" spans="4:19">
      <c r="D19" s="1" t="s">
        <v>83</v>
      </c>
      <c r="E19" s="1"/>
      <c r="F19" s="1"/>
      <c r="G19" s="1"/>
      <c r="H19" s="1"/>
      <c r="J19" s="1"/>
      <c r="K19" s="1"/>
      <c r="L19" s="7"/>
    </row>
    <row r="20" spans="4:19">
      <c r="D20" s="1"/>
      <c r="E20" s="1"/>
      <c r="F20" s="1"/>
      <c r="G20" s="1"/>
      <c r="H20" s="1"/>
      <c r="I20" s="1"/>
      <c r="J20" s="1"/>
      <c r="K20" s="1"/>
      <c r="L20" s="7"/>
    </row>
    <row r="21" spans="4:19">
      <c r="K21" s="1"/>
      <c r="L21" s="7"/>
    </row>
    <row r="22" spans="4:19">
      <c r="K22" s="1"/>
      <c r="L22" s="7"/>
    </row>
    <row r="23" spans="4:19">
      <c r="K23" s="1"/>
      <c r="L23" s="7"/>
    </row>
    <row r="24" spans="4:19">
      <c r="K24" s="1"/>
      <c r="L24" s="7"/>
    </row>
    <row r="25" spans="4:19">
      <c r="K25" s="1"/>
      <c r="L25" s="7"/>
    </row>
    <row r="26" spans="4:19">
      <c r="K26" s="1"/>
      <c r="L26" s="7"/>
    </row>
    <row r="27" spans="4:19">
      <c r="K27" s="1"/>
    </row>
    <row r="28" spans="4:19">
      <c r="L28" s="7"/>
    </row>
    <row r="33" spans="12:17">
      <c r="L33" s="7"/>
      <c r="O33" s="7"/>
      <c r="P33" s="7"/>
      <c r="Q33" s="7"/>
    </row>
    <row r="34" spans="12:17">
      <c r="N34" s="9"/>
      <c r="O34" s="10"/>
      <c r="P34" s="10"/>
    </row>
    <row r="36" spans="12:17">
      <c r="N36" s="9"/>
      <c r="O36" s="10"/>
      <c r="P36" s="10"/>
    </row>
    <row r="38" spans="12:17">
      <c r="N38" s="9"/>
      <c r="O38" s="10"/>
      <c r="P38" s="10"/>
    </row>
    <row r="40" spans="12:17">
      <c r="N40" s="9"/>
      <c r="O40" s="10"/>
      <c r="P40" s="10"/>
    </row>
    <row r="44" spans="12:17">
      <c r="O44" s="7"/>
      <c r="P44" s="7"/>
      <c r="Q44" s="7"/>
    </row>
    <row r="45" spans="12:17">
      <c r="N45" s="9"/>
      <c r="O45" s="10"/>
      <c r="P45" s="10"/>
      <c r="Q45" s="10"/>
    </row>
    <row r="47" spans="12:17">
      <c r="N47" s="9"/>
      <c r="O47" s="10"/>
      <c r="P47" s="10"/>
      <c r="Q47" s="10"/>
    </row>
    <row r="49" spans="12:17">
      <c r="N49" s="9"/>
      <c r="O49" s="10"/>
      <c r="P49" s="10"/>
      <c r="Q49" s="10"/>
    </row>
    <row r="51" spans="12:17">
      <c r="N51" s="9"/>
      <c r="O51" s="10"/>
      <c r="P51" s="10"/>
      <c r="Q51" s="10"/>
    </row>
    <row r="53" spans="12:17">
      <c r="L53" t="s">
        <v>84</v>
      </c>
    </row>
    <row r="54" spans="12:17">
      <c r="L54">
        <f>0.00000001317</f>
        <v>1.317E-8</v>
      </c>
      <c r="M54" t="s">
        <v>85</v>
      </c>
      <c r="N54">
        <v>96485.331999999995</v>
      </c>
      <c r="O54" s="7">
        <v>3.8479999999999999</v>
      </c>
      <c r="P54" s="7">
        <v>1.9999999999999999E-6</v>
      </c>
      <c r="Q54" s="7">
        <f>L8^0.5</f>
        <v>1.0308889006492359E-9</v>
      </c>
    </row>
    <row r="55" spans="12:17">
      <c r="N55" s="9">
        <f>N54*O54*P54*Q54</f>
        <v>7.6548770269243826E-10</v>
      </c>
      <c r="O55" s="10"/>
      <c r="P55" s="10"/>
      <c r="Q55" s="10"/>
    </row>
    <row r="57" spans="12:17">
      <c r="N57" s="10" t="e">
        <f>N55/M29</f>
        <v>#DIV/0!</v>
      </c>
      <c r="O57" s="10"/>
      <c r="P57" s="10"/>
      <c r="Q57" s="10"/>
    </row>
    <row r="59" spans="12:17">
      <c r="N59" s="9" t="e">
        <f>L54/N57</f>
        <v>#DIV/0!</v>
      </c>
      <c r="O59" s="10"/>
      <c r="P59" s="10"/>
      <c r="Q59" s="10"/>
    </row>
    <row r="61" spans="12:17">
      <c r="N61" s="9" t="e">
        <f>N59/Q8</f>
        <v>#DIV/0!</v>
      </c>
      <c r="O61" s="10"/>
      <c r="P61" s="10"/>
      <c r="Q61" s="10"/>
    </row>
    <row r="64" spans="12:17">
      <c r="L64" t="s">
        <v>86</v>
      </c>
    </row>
    <row r="65" spans="12:17">
      <c r="L65">
        <f>0.00000001677</f>
        <v>1.6770000000000001E-8</v>
      </c>
      <c r="M65" t="s">
        <v>85</v>
      </c>
      <c r="N65">
        <v>96485.331999999995</v>
      </c>
      <c r="O65" s="7">
        <v>3.8479999999999999</v>
      </c>
      <c r="P65" s="7">
        <v>1.9999999999999999E-6</v>
      </c>
      <c r="Q65" s="7">
        <f>L7^0.5</f>
        <v>0</v>
      </c>
    </row>
    <row r="66" spans="12:17">
      <c r="N66" s="9">
        <f>N65*O65*P65*Q65</f>
        <v>0</v>
      </c>
      <c r="O66" s="10"/>
      <c r="P66" s="10"/>
      <c r="Q66" s="10"/>
    </row>
    <row r="68" spans="12:17">
      <c r="N68" s="9" t="e">
        <f>N66/M29</f>
        <v>#DIV/0!</v>
      </c>
      <c r="O68" s="10"/>
      <c r="P68" s="10"/>
      <c r="Q68" s="10"/>
    </row>
    <row r="70" spans="12:17">
      <c r="N70" s="9" t="e">
        <f>L65/N68</f>
        <v>#DIV/0!</v>
      </c>
      <c r="O70" s="10"/>
      <c r="P70" s="10"/>
      <c r="Q70" s="10"/>
    </row>
    <row r="72" spans="12:17">
      <c r="N72" s="9" t="e">
        <f>N70/Q7</f>
        <v>#DIV/0!</v>
      </c>
      <c r="O72" s="10"/>
      <c r="P72" s="10"/>
      <c r="Q72" s="10"/>
    </row>
    <row r="74" spans="12:17">
      <c r="L74" t="s">
        <v>87</v>
      </c>
    </row>
    <row r="75" spans="12:17">
      <c r="L75">
        <f>0.00000001993</f>
        <v>1.993E-8</v>
      </c>
      <c r="M75" t="s">
        <v>85</v>
      </c>
      <c r="N75">
        <v>96485.331999999995</v>
      </c>
      <c r="O75" s="7">
        <v>3.8479999999999999</v>
      </c>
      <c r="P75" s="7">
        <v>1.9999999999999999E-6</v>
      </c>
      <c r="Q75" s="7">
        <f>L6^0.5</f>
        <v>0</v>
      </c>
    </row>
    <row r="77" spans="12:17">
      <c r="N77" s="9">
        <f>N75*O75*P75*Q75</f>
        <v>0</v>
      </c>
      <c r="O77" s="10"/>
      <c r="P77" s="10"/>
      <c r="Q77" s="10"/>
    </row>
    <row r="79" spans="12:17">
      <c r="N79" s="9" t="e">
        <f>N77/M29</f>
        <v>#DIV/0!</v>
      </c>
      <c r="O79" s="10"/>
      <c r="P79" s="10"/>
      <c r="Q79" s="10"/>
    </row>
    <row r="81" spans="14:17">
      <c r="N81" s="9" t="e">
        <f>L75/N79</f>
        <v>#DIV/0!</v>
      </c>
      <c r="O81" s="10"/>
      <c r="P81" s="10"/>
      <c r="Q81" s="10"/>
    </row>
    <row r="83" spans="14:17">
      <c r="N83" s="9" t="e">
        <f>N81/Q6</f>
        <v>#DIV/0!</v>
      </c>
      <c r="O83" s="10"/>
      <c r="P83" s="10"/>
      <c r="Q83" s="10"/>
    </row>
  </sheetData>
  <mergeCells count="21">
    <mergeCell ref="O4:R4"/>
    <mergeCell ref="N34:P34"/>
    <mergeCell ref="N36:P36"/>
    <mergeCell ref="N38:P38"/>
    <mergeCell ref="N40:P40"/>
    <mergeCell ref="N45:Q45"/>
    <mergeCell ref="N47:Q47"/>
    <mergeCell ref="N49:Q49"/>
    <mergeCell ref="N51:Q51"/>
    <mergeCell ref="N55:Q55"/>
    <mergeCell ref="N57:Q57"/>
    <mergeCell ref="N59:Q59"/>
    <mergeCell ref="N61:Q61"/>
    <mergeCell ref="N66:Q66"/>
    <mergeCell ref="N68:Q68"/>
    <mergeCell ref="N83:Q83"/>
    <mergeCell ref="N70:Q70"/>
    <mergeCell ref="N72:Q72"/>
    <mergeCell ref="N77:Q77"/>
    <mergeCell ref="N79:Q79"/>
    <mergeCell ref="N81:Q8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C40A-CA23-6A4B-B750-7990BED9B4C5}">
  <dimension ref="B4:F26"/>
  <sheetViews>
    <sheetView workbookViewId="0">
      <selection activeCell="F5" sqref="F5:F26"/>
    </sheetView>
  </sheetViews>
  <sheetFormatPr defaultColWidth="11" defaultRowHeight="15.95"/>
  <cols>
    <col min="3" max="3" width="13" customWidth="1"/>
    <col min="4" max="4" width="13.375" customWidth="1"/>
    <col min="6" max="6" width="26.625" customWidth="1"/>
  </cols>
  <sheetData>
    <row r="4" spans="2:6">
      <c r="B4" s="1" t="s">
        <v>0</v>
      </c>
      <c r="C4" t="s">
        <v>88</v>
      </c>
      <c r="D4" t="s">
        <v>89</v>
      </c>
      <c r="E4" t="s">
        <v>90</v>
      </c>
      <c r="F4" t="s">
        <v>91</v>
      </c>
    </row>
    <row r="5" spans="2:6">
      <c r="B5" s="1">
        <v>0.05</v>
      </c>
      <c r="C5" s="7">
        <v>5.0000000000000004E-6</v>
      </c>
      <c r="D5" s="7">
        <f>B5*C5</f>
        <v>2.5000000000000004E-7</v>
      </c>
      <c r="E5">
        <v>0.16070000000000001</v>
      </c>
      <c r="F5" s="7">
        <f>E5/D5</f>
        <v>642799.99999999988</v>
      </c>
    </row>
    <row r="6" spans="2:6">
      <c r="B6" s="1">
        <v>0.1</v>
      </c>
      <c r="C6" s="7">
        <v>5.0000000000000004E-6</v>
      </c>
      <c r="D6" s="7">
        <f t="shared" ref="D6:D26" si="0">B6*C6</f>
        <v>5.0000000000000008E-7</v>
      </c>
      <c r="E6">
        <v>0.1779</v>
      </c>
      <c r="F6" s="7">
        <f t="shared" ref="F6:F26" si="1">E6/D6</f>
        <v>355799.99999999994</v>
      </c>
    </row>
    <row r="7" spans="2:6">
      <c r="B7" s="1">
        <v>0.2</v>
      </c>
      <c r="C7" s="7">
        <v>5.0000000000000004E-6</v>
      </c>
      <c r="D7" s="7">
        <f t="shared" si="0"/>
        <v>1.0000000000000002E-6</v>
      </c>
      <c r="E7">
        <v>0.22409999999999999</v>
      </c>
      <c r="F7" s="7">
        <f t="shared" si="1"/>
        <v>224099.99999999994</v>
      </c>
    </row>
    <row r="8" spans="2:6">
      <c r="B8" s="1">
        <v>0.3</v>
      </c>
      <c r="C8" s="7">
        <v>5.0000000000000004E-6</v>
      </c>
      <c r="D8" s="7">
        <f t="shared" si="0"/>
        <v>1.5E-6</v>
      </c>
      <c r="E8">
        <v>0.27360000000000001</v>
      </c>
      <c r="F8" s="7">
        <f t="shared" si="1"/>
        <v>182400</v>
      </c>
    </row>
    <row r="9" spans="2:6">
      <c r="B9" s="1">
        <v>0.4</v>
      </c>
      <c r="C9" s="7">
        <v>5.0000000000000004E-6</v>
      </c>
      <c r="D9" s="7">
        <f t="shared" si="0"/>
        <v>2.0000000000000003E-6</v>
      </c>
      <c r="E9">
        <v>0.31490000000000001</v>
      </c>
      <c r="F9" s="7">
        <f t="shared" si="1"/>
        <v>157449.99999999997</v>
      </c>
    </row>
    <row r="10" spans="2:6">
      <c r="B10" s="1">
        <v>0.5</v>
      </c>
      <c r="C10" s="7">
        <v>5.0000000000000004E-6</v>
      </c>
      <c r="D10" s="7">
        <f t="shared" si="0"/>
        <v>2.5000000000000002E-6</v>
      </c>
      <c r="E10">
        <v>0.35680000000000001</v>
      </c>
      <c r="F10" s="7">
        <f t="shared" si="1"/>
        <v>142720</v>
      </c>
    </row>
    <row r="11" spans="2:6">
      <c r="B11" s="1">
        <v>0.6</v>
      </c>
      <c r="C11" s="7">
        <v>5.0000000000000004E-6</v>
      </c>
      <c r="D11" s="7">
        <f t="shared" si="0"/>
        <v>3.0000000000000001E-6</v>
      </c>
      <c r="E11">
        <v>0.3659</v>
      </c>
      <c r="F11" s="7">
        <f t="shared" si="1"/>
        <v>121966.66666666667</v>
      </c>
    </row>
    <row r="12" spans="2:6">
      <c r="B12" s="1">
        <v>0.7</v>
      </c>
      <c r="C12" s="7">
        <v>5.0000000000000004E-6</v>
      </c>
      <c r="D12" s="7">
        <f t="shared" si="0"/>
        <v>3.4999999999999999E-6</v>
      </c>
      <c r="E12">
        <v>0.36530000000000001</v>
      </c>
      <c r="F12" s="7">
        <f t="shared" si="1"/>
        <v>104371.42857142858</v>
      </c>
    </row>
    <row r="13" spans="2:6">
      <c r="B13" s="1">
        <v>0.8</v>
      </c>
      <c r="C13" s="7">
        <v>5.0000000000000004E-6</v>
      </c>
      <c r="D13" s="7">
        <f t="shared" si="0"/>
        <v>4.0000000000000007E-6</v>
      </c>
      <c r="E13">
        <v>0.3755</v>
      </c>
      <c r="F13" s="7">
        <f t="shared" si="1"/>
        <v>93874.999999999985</v>
      </c>
    </row>
    <row r="14" spans="2:6">
      <c r="B14" s="1">
        <v>0.9</v>
      </c>
      <c r="C14" s="7">
        <v>5.0000000000000004E-6</v>
      </c>
      <c r="D14" s="7">
        <f t="shared" si="0"/>
        <v>4.5000000000000001E-6</v>
      </c>
      <c r="E14">
        <v>0.41970000000000002</v>
      </c>
      <c r="F14" s="7">
        <f t="shared" si="1"/>
        <v>93266.666666666672</v>
      </c>
    </row>
    <row r="15" spans="2:6">
      <c r="B15" s="1">
        <v>1</v>
      </c>
      <c r="C15" s="7">
        <v>5.0000000000000004E-6</v>
      </c>
      <c r="D15" s="7">
        <f t="shared" si="0"/>
        <v>5.0000000000000004E-6</v>
      </c>
      <c r="E15">
        <v>0.39779999999999999</v>
      </c>
      <c r="F15" s="7">
        <f t="shared" si="1"/>
        <v>79559.999999999985</v>
      </c>
    </row>
    <row r="16" spans="2:6">
      <c r="B16" s="1">
        <v>1.2</v>
      </c>
      <c r="C16" s="7">
        <v>5.0000000000000004E-6</v>
      </c>
      <c r="D16" s="7">
        <f t="shared" si="0"/>
        <v>6.0000000000000002E-6</v>
      </c>
      <c r="E16">
        <v>0.44500000000000001</v>
      </c>
      <c r="F16" s="7">
        <f t="shared" si="1"/>
        <v>74166.666666666672</v>
      </c>
    </row>
    <row r="17" spans="2:6">
      <c r="B17" s="1">
        <v>1.4</v>
      </c>
      <c r="C17" s="7">
        <v>5.0000000000000004E-6</v>
      </c>
      <c r="D17" s="7">
        <f t="shared" si="0"/>
        <v>6.9999999999999999E-6</v>
      </c>
      <c r="E17">
        <v>0.52539999999999998</v>
      </c>
      <c r="F17" s="7">
        <f t="shared" si="1"/>
        <v>75057.142857142855</v>
      </c>
    </row>
    <row r="18" spans="2:6">
      <c r="B18" s="1">
        <v>1.6</v>
      </c>
      <c r="C18" s="7">
        <v>5.0000000000000004E-6</v>
      </c>
      <c r="D18" s="7">
        <f t="shared" si="0"/>
        <v>8.0000000000000013E-6</v>
      </c>
      <c r="E18">
        <v>0.44059999999999999</v>
      </c>
      <c r="F18" s="7">
        <f t="shared" si="1"/>
        <v>55074.999999999993</v>
      </c>
    </row>
    <row r="19" spans="2:6">
      <c r="B19" s="1">
        <v>1.8</v>
      </c>
      <c r="C19" s="7">
        <v>5.0000000000000004E-6</v>
      </c>
      <c r="D19" s="7">
        <f t="shared" si="0"/>
        <v>9.0000000000000002E-6</v>
      </c>
      <c r="E19">
        <v>0.56779999999999997</v>
      </c>
      <c r="F19" s="7">
        <f t="shared" si="1"/>
        <v>63088.888888888883</v>
      </c>
    </row>
    <row r="20" spans="2:6">
      <c r="B20" s="1">
        <v>2</v>
      </c>
      <c r="C20" s="7">
        <v>5.0000000000000004E-6</v>
      </c>
      <c r="D20" s="7">
        <f t="shared" si="0"/>
        <v>1.0000000000000001E-5</v>
      </c>
      <c r="E20">
        <v>0.50160000000000005</v>
      </c>
      <c r="F20" s="7">
        <f t="shared" si="1"/>
        <v>50160</v>
      </c>
    </row>
    <row r="21" spans="2:6">
      <c r="B21" s="1">
        <v>2.5</v>
      </c>
      <c r="C21" s="7">
        <v>5.0000000000000004E-6</v>
      </c>
      <c r="D21" s="7">
        <f t="shared" si="0"/>
        <v>1.2500000000000001E-5</v>
      </c>
      <c r="E21">
        <v>0.6673</v>
      </c>
      <c r="F21" s="7">
        <f t="shared" si="1"/>
        <v>53384</v>
      </c>
    </row>
    <row r="22" spans="2:6">
      <c r="B22" s="1">
        <v>3</v>
      </c>
      <c r="C22" s="7">
        <v>5.0000000000000004E-6</v>
      </c>
      <c r="D22" s="7">
        <f t="shared" si="0"/>
        <v>1.5000000000000002E-5</v>
      </c>
      <c r="E22">
        <v>0.67689999999999995</v>
      </c>
      <c r="F22" s="7">
        <f t="shared" si="1"/>
        <v>45126.666666666657</v>
      </c>
    </row>
    <row r="23" spans="2:6">
      <c r="B23" s="1">
        <v>4</v>
      </c>
      <c r="C23" s="7">
        <v>5.0000000000000004E-6</v>
      </c>
      <c r="D23" s="7">
        <f t="shared" si="0"/>
        <v>2.0000000000000002E-5</v>
      </c>
      <c r="E23">
        <v>0.80479999999999996</v>
      </c>
      <c r="F23" s="7">
        <f t="shared" si="1"/>
        <v>40239.999999999993</v>
      </c>
    </row>
    <row r="24" spans="2:6">
      <c r="B24" s="1">
        <v>5</v>
      </c>
      <c r="C24" s="7">
        <v>5.0000000000000004E-6</v>
      </c>
      <c r="D24" s="7">
        <f t="shared" si="0"/>
        <v>2.5000000000000001E-5</v>
      </c>
      <c r="E24">
        <v>0.74729999999999996</v>
      </c>
      <c r="F24" s="7">
        <f t="shared" si="1"/>
        <v>29891.999999999996</v>
      </c>
    </row>
    <row r="25" spans="2:6">
      <c r="B25" s="1">
        <v>6</v>
      </c>
      <c r="C25" s="7">
        <v>5.0000000000000004E-6</v>
      </c>
      <c r="D25" s="7">
        <f t="shared" si="0"/>
        <v>3.0000000000000004E-5</v>
      </c>
      <c r="E25">
        <v>0.50029999999999997</v>
      </c>
      <c r="F25" s="7">
        <f t="shared" si="1"/>
        <v>16676.666666666664</v>
      </c>
    </row>
    <row r="26" spans="2:6">
      <c r="B26" s="1">
        <v>7</v>
      </c>
      <c r="C26" s="7">
        <v>5.0000000000000004E-6</v>
      </c>
      <c r="D26" s="7">
        <f t="shared" si="0"/>
        <v>3.5000000000000004E-5</v>
      </c>
      <c r="E26">
        <v>0.69059999999999999</v>
      </c>
      <c r="F26" s="7">
        <f t="shared" si="1"/>
        <v>19731.428571428569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4E35-941A-9C46-BA27-8955E23D8B5F}">
  <dimension ref="C5:G27"/>
  <sheetViews>
    <sheetView workbookViewId="0">
      <selection activeCell="G6" sqref="G6:G27"/>
    </sheetView>
  </sheetViews>
  <sheetFormatPr defaultColWidth="11" defaultRowHeight="15.95"/>
  <cols>
    <col min="4" max="4" width="15" customWidth="1"/>
    <col min="5" max="5" width="14.625" customWidth="1"/>
    <col min="7" max="7" width="26.125" customWidth="1"/>
  </cols>
  <sheetData>
    <row r="5" spans="3:7">
      <c r="C5" s="1" t="s">
        <v>0</v>
      </c>
      <c r="D5" t="s">
        <v>88</v>
      </c>
      <c r="E5" t="s">
        <v>89</v>
      </c>
      <c r="F5" t="s">
        <v>90</v>
      </c>
      <c r="G5" t="s">
        <v>91</v>
      </c>
    </row>
    <row r="6" spans="3:7">
      <c r="C6" s="1">
        <v>0.05</v>
      </c>
      <c r="D6" s="7">
        <v>5.0000000000000004E-6</v>
      </c>
      <c r="E6" s="7">
        <f>C6*D6</f>
        <v>2.5000000000000004E-7</v>
      </c>
      <c r="F6">
        <v>-0.1358</v>
      </c>
      <c r="G6" s="7">
        <f>F6/E6</f>
        <v>-543199.99999999988</v>
      </c>
    </row>
    <row r="7" spans="3:7">
      <c r="C7" s="1">
        <v>0.1</v>
      </c>
      <c r="D7" s="7">
        <v>5.0000000000000004E-6</v>
      </c>
      <c r="E7" s="7">
        <f t="shared" ref="E7:E27" si="0">C7*D7</f>
        <v>5.0000000000000008E-7</v>
      </c>
      <c r="F7">
        <v>-0.19650000000000001</v>
      </c>
      <c r="G7" s="7">
        <f t="shared" ref="G7:G27" si="1">F7/E7</f>
        <v>-392999.99999999994</v>
      </c>
    </row>
    <row r="8" spans="3:7">
      <c r="C8" s="1">
        <v>0.2</v>
      </c>
      <c r="D8" s="7">
        <v>5.0000000000000004E-6</v>
      </c>
      <c r="E8" s="7">
        <f t="shared" si="0"/>
        <v>1.0000000000000002E-6</v>
      </c>
      <c r="F8">
        <v>-0.26429999999999998</v>
      </c>
      <c r="G8" s="7">
        <f t="shared" si="1"/>
        <v>-264299.99999999994</v>
      </c>
    </row>
    <row r="9" spans="3:7">
      <c r="C9" s="1">
        <v>0.3</v>
      </c>
      <c r="D9" s="7">
        <v>5.0000000000000004E-6</v>
      </c>
      <c r="E9" s="7">
        <f t="shared" si="0"/>
        <v>1.5E-6</v>
      </c>
      <c r="F9">
        <v>-0.27779999999999999</v>
      </c>
      <c r="G9" s="7">
        <f t="shared" si="1"/>
        <v>-185200</v>
      </c>
    </row>
    <row r="10" spans="3:7">
      <c r="C10" s="1">
        <v>0.4</v>
      </c>
      <c r="D10" s="7">
        <v>5.0000000000000004E-6</v>
      </c>
      <c r="E10" s="7">
        <f t="shared" si="0"/>
        <v>2.0000000000000003E-6</v>
      </c>
      <c r="F10">
        <v>-0.37519999999999998</v>
      </c>
      <c r="G10" s="7">
        <f t="shared" si="1"/>
        <v>-187599.99999999997</v>
      </c>
    </row>
    <row r="11" spans="3:7">
      <c r="C11" s="1">
        <v>0.5</v>
      </c>
      <c r="D11" s="7">
        <v>5.0000000000000004E-6</v>
      </c>
      <c r="E11" s="7">
        <f t="shared" si="0"/>
        <v>2.5000000000000002E-6</v>
      </c>
      <c r="F11">
        <v>-0.4002</v>
      </c>
      <c r="G11" s="7">
        <f t="shared" si="1"/>
        <v>-160080</v>
      </c>
    </row>
    <row r="12" spans="3:7">
      <c r="C12" s="1">
        <v>0.6</v>
      </c>
      <c r="D12" s="7">
        <v>5.0000000000000004E-6</v>
      </c>
      <c r="E12" s="7">
        <f t="shared" si="0"/>
        <v>3.0000000000000001E-6</v>
      </c>
      <c r="F12">
        <v>-0.41060000000000002</v>
      </c>
      <c r="G12" s="7">
        <f t="shared" si="1"/>
        <v>-136866.66666666666</v>
      </c>
    </row>
    <row r="13" spans="3:7">
      <c r="C13" s="1">
        <v>0.7</v>
      </c>
      <c r="D13" s="7">
        <v>5.0000000000000004E-6</v>
      </c>
      <c r="E13" s="7">
        <f t="shared" si="0"/>
        <v>3.4999999999999999E-6</v>
      </c>
      <c r="F13">
        <v>-0.48530000000000001</v>
      </c>
      <c r="G13" s="7">
        <f t="shared" si="1"/>
        <v>-138657.14285714287</v>
      </c>
    </row>
    <row r="14" spans="3:7">
      <c r="C14" s="1">
        <v>0.8</v>
      </c>
      <c r="D14" s="7">
        <v>5.0000000000000004E-6</v>
      </c>
      <c r="E14" s="7">
        <f t="shared" si="0"/>
        <v>4.0000000000000007E-6</v>
      </c>
      <c r="F14">
        <v>-0.48599999999999999</v>
      </c>
      <c r="G14" s="7">
        <f t="shared" si="1"/>
        <v>-121499.99999999997</v>
      </c>
    </row>
    <row r="15" spans="3:7">
      <c r="C15" s="1">
        <v>0.9</v>
      </c>
      <c r="D15" s="7">
        <v>5.0000000000000004E-6</v>
      </c>
      <c r="E15" s="7">
        <f t="shared" si="0"/>
        <v>4.5000000000000001E-6</v>
      </c>
      <c r="F15">
        <v>-0.47799999999999998</v>
      </c>
      <c r="G15" s="7">
        <f t="shared" si="1"/>
        <v>-106222.22222222222</v>
      </c>
    </row>
    <row r="16" spans="3:7">
      <c r="C16" s="1">
        <v>1</v>
      </c>
      <c r="D16" s="7">
        <v>5.0000000000000004E-6</v>
      </c>
      <c r="E16" s="7">
        <f t="shared" si="0"/>
        <v>5.0000000000000004E-6</v>
      </c>
      <c r="F16">
        <v>-0.47620000000000001</v>
      </c>
      <c r="G16" s="7">
        <f t="shared" si="1"/>
        <v>-95240</v>
      </c>
    </row>
    <row r="17" spans="3:7">
      <c r="C17" s="1">
        <v>1.2</v>
      </c>
      <c r="D17" s="7">
        <v>5.0000000000000004E-6</v>
      </c>
      <c r="E17" s="7">
        <f t="shared" si="0"/>
        <v>6.0000000000000002E-6</v>
      </c>
      <c r="F17">
        <v>-0.57499999999999996</v>
      </c>
      <c r="G17" s="7">
        <f t="shared" si="1"/>
        <v>-95833.333333333328</v>
      </c>
    </row>
    <row r="18" spans="3:7">
      <c r="C18" s="1">
        <v>1.4</v>
      </c>
      <c r="D18" s="7">
        <v>5.0000000000000004E-6</v>
      </c>
      <c r="E18" s="7">
        <f t="shared" si="0"/>
        <v>6.9999999999999999E-6</v>
      </c>
      <c r="F18">
        <v>-0.75229999999999997</v>
      </c>
      <c r="G18" s="7">
        <f t="shared" si="1"/>
        <v>-107471.42857142857</v>
      </c>
    </row>
    <row r="19" spans="3:7">
      <c r="C19" s="1">
        <v>1.6</v>
      </c>
      <c r="D19" s="7">
        <v>5.0000000000000004E-6</v>
      </c>
      <c r="E19" s="7">
        <f t="shared" si="0"/>
        <v>8.0000000000000013E-6</v>
      </c>
      <c r="F19">
        <v>-0.57210000000000005</v>
      </c>
      <c r="G19" s="7">
        <f t="shared" si="1"/>
        <v>-71512.5</v>
      </c>
    </row>
    <row r="20" spans="3:7">
      <c r="C20" s="1">
        <v>1.8</v>
      </c>
      <c r="D20" s="7">
        <v>5.0000000000000004E-6</v>
      </c>
      <c r="E20" s="7">
        <f t="shared" si="0"/>
        <v>9.0000000000000002E-6</v>
      </c>
      <c r="F20">
        <v>-0.68149999999999999</v>
      </c>
      <c r="G20" s="7">
        <f t="shared" si="1"/>
        <v>-75722.222222222219</v>
      </c>
    </row>
    <row r="21" spans="3:7">
      <c r="C21" s="1">
        <v>2</v>
      </c>
      <c r="D21" s="7">
        <v>5.0000000000000004E-6</v>
      </c>
      <c r="E21" s="7">
        <f t="shared" si="0"/>
        <v>1.0000000000000001E-5</v>
      </c>
      <c r="F21">
        <v>-0.65559999999999996</v>
      </c>
      <c r="G21" s="7">
        <f t="shared" si="1"/>
        <v>-65559.999999999985</v>
      </c>
    </row>
    <row r="22" spans="3:7">
      <c r="C22" s="1">
        <v>2.5</v>
      </c>
      <c r="D22" s="7">
        <v>5.0000000000000004E-6</v>
      </c>
      <c r="E22" s="7">
        <f t="shared" si="0"/>
        <v>1.2500000000000001E-5</v>
      </c>
      <c r="F22">
        <v>-0.67149999999999999</v>
      </c>
      <c r="G22" s="7">
        <f t="shared" si="1"/>
        <v>-53719.999999999993</v>
      </c>
    </row>
    <row r="23" spans="3:7">
      <c r="C23" s="1">
        <v>3</v>
      </c>
      <c r="D23" s="7">
        <v>5.0000000000000004E-6</v>
      </c>
      <c r="E23" s="7">
        <f t="shared" si="0"/>
        <v>1.5000000000000002E-5</v>
      </c>
      <c r="F23">
        <v>-0.47070000000000001</v>
      </c>
      <c r="G23" s="7">
        <f t="shared" si="1"/>
        <v>-31379.999999999996</v>
      </c>
    </row>
    <row r="24" spans="3:7">
      <c r="C24" s="1">
        <v>4</v>
      </c>
      <c r="D24" s="7">
        <v>5.0000000000000004E-6</v>
      </c>
      <c r="E24" s="7">
        <f t="shared" si="0"/>
        <v>2.0000000000000002E-5</v>
      </c>
      <c r="F24">
        <v>-0.58450000000000002</v>
      </c>
      <c r="G24" s="7">
        <f t="shared" si="1"/>
        <v>-29225</v>
      </c>
    </row>
    <row r="25" spans="3:7">
      <c r="C25" s="1">
        <v>5</v>
      </c>
      <c r="D25" s="7">
        <v>5.0000000000000004E-6</v>
      </c>
      <c r="E25" s="7">
        <f t="shared" si="0"/>
        <v>2.5000000000000001E-5</v>
      </c>
      <c r="F25">
        <v>-0.5958</v>
      </c>
      <c r="G25" s="7">
        <f t="shared" si="1"/>
        <v>-23832</v>
      </c>
    </row>
    <row r="26" spans="3:7">
      <c r="C26" s="1">
        <v>6</v>
      </c>
      <c r="D26" s="7">
        <v>5.0000000000000004E-6</v>
      </c>
      <c r="E26" s="7">
        <f t="shared" si="0"/>
        <v>3.0000000000000004E-5</v>
      </c>
      <c r="F26">
        <v>-0.47020000000000001</v>
      </c>
      <c r="G26" s="7">
        <f t="shared" si="1"/>
        <v>-15673.333333333332</v>
      </c>
    </row>
    <row r="27" spans="3:7">
      <c r="C27" s="1">
        <v>7</v>
      </c>
      <c r="D27" s="7">
        <v>5.0000000000000004E-6</v>
      </c>
      <c r="E27" s="7">
        <f t="shared" si="0"/>
        <v>3.5000000000000004E-5</v>
      </c>
      <c r="F27">
        <v>-0.74619999999999997</v>
      </c>
      <c r="G27" s="7">
        <f t="shared" si="1"/>
        <v>-21319.999999999996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1140-3360-E148-8724-8EC0368F5806}">
  <dimension ref="A1:J26"/>
  <sheetViews>
    <sheetView workbookViewId="0">
      <selection activeCell="E36" sqref="E36"/>
    </sheetView>
  </sheetViews>
  <sheetFormatPr defaultColWidth="11" defaultRowHeight="15.95"/>
  <sheetData>
    <row r="1" spans="1:10">
      <c r="J1" s="1" t="s">
        <v>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>
        <v>0.05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>
        <v>0.1</v>
      </c>
    </row>
    <row r="4" spans="1:10">
      <c r="A4" s="1"/>
      <c r="B4" s="1"/>
      <c r="C4" s="1"/>
      <c r="D4" s="1"/>
      <c r="E4" s="1"/>
      <c r="F4" s="1"/>
      <c r="G4" s="1"/>
      <c r="H4" s="1"/>
      <c r="I4" s="1"/>
      <c r="J4" s="1">
        <v>0.2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>
        <v>0.3</v>
      </c>
    </row>
    <row r="6" spans="1:10">
      <c r="A6" s="1"/>
      <c r="B6" s="1"/>
      <c r="C6" s="1"/>
      <c r="D6" s="1"/>
      <c r="E6" s="1"/>
      <c r="F6" s="1"/>
      <c r="G6" s="1"/>
      <c r="H6" s="1"/>
      <c r="I6" s="1"/>
      <c r="J6" s="1">
        <v>0.4</v>
      </c>
    </row>
    <row r="7" spans="1:10">
      <c r="A7" s="1"/>
      <c r="B7" s="1"/>
      <c r="C7" s="1"/>
      <c r="E7" s="1"/>
      <c r="F7" s="1"/>
      <c r="G7" s="1"/>
      <c r="H7" s="1"/>
      <c r="I7" s="1"/>
      <c r="J7" s="1">
        <v>0.5</v>
      </c>
    </row>
    <row r="8" spans="1:10">
      <c r="A8" s="1"/>
      <c r="B8" s="1"/>
      <c r="C8" s="1"/>
      <c r="D8" s="1"/>
      <c r="E8" s="1"/>
      <c r="F8" s="1"/>
      <c r="G8" s="1"/>
      <c r="H8" s="1"/>
      <c r="I8" s="1"/>
      <c r="J8" s="1">
        <v>0.6</v>
      </c>
    </row>
    <row r="9" spans="1:10">
      <c r="A9" s="1"/>
      <c r="B9" s="1" t="s">
        <v>92</v>
      </c>
      <c r="C9" s="1"/>
      <c r="D9" s="1"/>
      <c r="E9" s="1"/>
      <c r="F9" s="1"/>
      <c r="G9" s="1"/>
      <c r="H9" s="1"/>
      <c r="I9" s="1"/>
      <c r="J9" s="1">
        <v>0.7</v>
      </c>
    </row>
    <row r="10" spans="1:10">
      <c r="A10" s="1"/>
      <c r="B10" s="1" t="s">
        <v>49</v>
      </c>
      <c r="C10" s="1"/>
      <c r="D10" s="1"/>
      <c r="E10" s="1"/>
      <c r="F10" s="1"/>
      <c r="G10" s="1"/>
      <c r="H10" s="1"/>
      <c r="I10" s="1"/>
      <c r="J10" s="1">
        <v>0.8</v>
      </c>
    </row>
    <row r="11" spans="1:10">
      <c r="A11" s="1"/>
      <c r="B11" s="1" t="s">
        <v>50</v>
      </c>
      <c r="C11" s="1"/>
      <c r="D11" s="1"/>
      <c r="E11" s="1"/>
      <c r="F11" s="4" t="s">
        <v>41</v>
      </c>
      <c r="G11" s="1"/>
      <c r="H11" s="1"/>
      <c r="I11" s="1"/>
      <c r="J11" s="1">
        <v>0.9</v>
      </c>
    </row>
    <row r="12" spans="1:10">
      <c r="A12" s="1"/>
      <c r="B12" s="1" t="s">
        <v>54</v>
      </c>
      <c r="C12" s="1"/>
      <c r="D12" s="1"/>
      <c r="E12" s="1"/>
      <c r="F12" s="1"/>
      <c r="G12" s="1"/>
      <c r="H12" s="1"/>
      <c r="I12" s="1"/>
      <c r="J12" s="1">
        <v>1</v>
      </c>
    </row>
    <row r="13" spans="1:10">
      <c r="A13" s="1"/>
      <c r="B13" s="1" t="s">
        <v>55</v>
      </c>
      <c r="C13" s="1"/>
      <c r="D13" s="1"/>
      <c r="E13" s="1"/>
      <c r="F13" s="1"/>
      <c r="G13" s="1"/>
      <c r="H13" s="1"/>
      <c r="I13" s="1"/>
      <c r="J13" s="1">
        <v>1.2</v>
      </c>
    </row>
    <row r="14" spans="1:10">
      <c r="A14" s="1"/>
      <c r="B14" s="1" t="s">
        <v>56</v>
      </c>
      <c r="C14" s="1"/>
      <c r="D14" s="1"/>
      <c r="E14" s="1"/>
      <c r="F14" s="1" t="s">
        <v>93</v>
      </c>
      <c r="G14" s="1"/>
      <c r="H14" s="1" t="s">
        <v>94</v>
      </c>
      <c r="I14" s="1"/>
      <c r="J14" s="1">
        <v>1.4</v>
      </c>
    </row>
    <row r="15" spans="1:10">
      <c r="A15" s="1"/>
      <c r="B15" s="1"/>
      <c r="C15" s="1"/>
      <c r="D15" s="1"/>
      <c r="E15" s="1"/>
      <c r="F15" s="1">
        <v>0.85070299999999999</v>
      </c>
      <c r="G15" s="1"/>
      <c r="H15" s="1">
        <v>0.27100000000000002</v>
      </c>
      <c r="I15" s="1"/>
      <c r="J15" s="1">
        <v>1.6</v>
      </c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>
        <v>1.8</v>
      </c>
    </row>
    <row r="17" spans="1:10">
      <c r="A17" s="1"/>
      <c r="B17" s="1"/>
      <c r="C17" s="1"/>
      <c r="D17" s="1"/>
      <c r="E17" s="1"/>
      <c r="F17" s="1" t="s">
        <v>95</v>
      </c>
      <c r="G17" s="1"/>
      <c r="H17" s="1" t="s">
        <v>96</v>
      </c>
      <c r="I17" s="1"/>
      <c r="J17" s="1">
        <v>2</v>
      </c>
    </row>
    <row r="18" spans="1:10">
      <c r="A18" s="1"/>
      <c r="B18" s="1" t="s">
        <v>59</v>
      </c>
      <c r="C18" s="1"/>
      <c r="D18" s="1"/>
      <c r="E18" s="1"/>
      <c r="F18" s="1">
        <v>0.51961524199999998</v>
      </c>
      <c r="G18" s="1"/>
      <c r="H18" s="1">
        <v>1.1327612279999999</v>
      </c>
      <c r="I18" s="1"/>
      <c r="J18" s="1">
        <v>2.5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>
        <v>3</v>
      </c>
    </row>
    <row r="20" spans="1:10">
      <c r="A20" s="1"/>
      <c r="B20" s="1"/>
      <c r="C20" s="1"/>
      <c r="D20" s="1"/>
      <c r="E20" s="1"/>
      <c r="F20" s="1" t="s">
        <v>97</v>
      </c>
      <c r="G20" s="1"/>
      <c r="H20" s="1" t="s">
        <v>98</v>
      </c>
      <c r="I20" s="1"/>
      <c r="J20" s="1">
        <v>3.5</v>
      </c>
    </row>
    <row r="21" spans="1:10">
      <c r="A21" s="1"/>
      <c r="B21" s="1"/>
      <c r="C21" s="1"/>
      <c r="D21" s="1"/>
      <c r="E21" s="1"/>
      <c r="F21" s="1">
        <v>0.72369559400000005</v>
      </c>
      <c r="G21" s="1"/>
      <c r="H21" s="1">
        <v>69826.009669999999</v>
      </c>
      <c r="I21" s="1"/>
      <c r="J21" s="1">
        <v>4</v>
      </c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>
        <v>4.5</v>
      </c>
    </row>
    <row r="23" spans="1:10">
      <c r="A23" s="1"/>
      <c r="B23" s="1"/>
      <c r="C23" s="1"/>
      <c r="D23" s="1"/>
      <c r="E23" s="1"/>
      <c r="F23" s="1" t="s">
        <v>99</v>
      </c>
      <c r="G23" s="1"/>
      <c r="H23" s="1"/>
      <c r="I23" s="1"/>
      <c r="J23" s="1">
        <v>5</v>
      </c>
    </row>
    <row r="24" spans="1:10">
      <c r="A24" s="1"/>
      <c r="B24" s="1"/>
      <c r="C24" s="1"/>
      <c r="D24" s="1"/>
      <c r="E24" s="1"/>
      <c r="F24" s="1">
        <v>28.664000000000001</v>
      </c>
      <c r="G24" s="1"/>
      <c r="H24" s="1"/>
      <c r="I24" s="1"/>
      <c r="J24" s="1">
        <v>5.5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>
        <v>6</v>
      </c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jordan potts</cp:lastModifiedBy>
  <cp:revision/>
  <dcterms:created xsi:type="dcterms:W3CDTF">2021-05-25T15:37:52Z</dcterms:created>
  <dcterms:modified xsi:type="dcterms:W3CDTF">2023-09-17T13:54:48Z</dcterms:modified>
  <cp:category/>
  <cp:contentStatus/>
</cp:coreProperties>
</file>