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uniofnottm.sharepoint.com/sites/PhDLukeWoodliffe/Shared Documents/General/Flow manuscript data files/"/>
    </mc:Choice>
  </mc:AlternateContent>
  <xr:revisionPtr revIDLastSave="3370" documentId="11_F25DC773A252ABDACC104802A99B63B85BDE58ED" xr6:coauthVersionLast="47" xr6:coauthVersionMax="47" xr10:uidLastSave="{53C3CB29-C2F2-49F6-8959-B7B157A622C0}"/>
  <bookViews>
    <workbookView xWindow="-120" yWindow="-120" windowWidth="29040" windowHeight="15840" activeTab="6" xr2:uid="{00000000-000D-0000-FFFF-FFFF00000000}"/>
  </bookViews>
  <sheets>
    <sheet name="Data" sheetId="2" r:id="rId1"/>
    <sheet name="CO2 vs KOH" sheetId="3" r:id="rId2"/>
    <sheet name="CO2 vs CA.KOH" sheetId="4" r:id="rId3"/>
    <sheet name="CO2 vs H2O-EtOH" sheetId="5" state="hidden" r:id="rId4"/>
    <sheet name="CO2 vs H2O fraction" sheetId="6" r:id="rId5"/>
    <sheet name="CO2 vs flow rate (2)" sheetId="19" r:id="rId6"/>
    <sheet name="ads prod vs flow rate" sheetId="17" r:id="rId7"/>
    <sheet name="CO2 vs T (2)" sheetId="16" r:id="rId8"/>
    <sheet name="CO2 vs Mg (added)" sheetId="9" r:id="rId9"/>
    <sheet name="CO2 vs Mg (ICP)" sheetId="13" r:id="rId10"/>
    <sheet name="Mg added vs actual" sheetId="14" r:id="rId11"/>
    <sheet name="Mg added vs incorporation %" sheetId="15" r:id="rId12"/>
    <sheet name="CO2 vs MNP" sheetId="10" r:id="rId13"/>
    <sheet name="CO2 vs scale" sheetId="12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6" i="2" l="1"/>
  <c r="Q39" i="2"/>
  <c r="R39" i="2" s="1"/>
  <c r="Q38" i="2"/>
  <c r="R38" i="2" s="1"/>
  <c r="Q37" i="2"/>
  <c r="R37" i="2" s="1"/>
  <c r="Q35" i="2"/>
  <c r="R35" i="2" s="1"/>
  <c r="Q34" i="2"/>
  <c r="R34" i="2" s="1"/>
  <c r="Q33" i="2"/>
  <c r="R33" i="2" s="1"/>
  <c r="R64" i="2" l="1"/>
  <c r="N64" i="2"/>
  <c r="K64" i="2"/>
  <c r="K66" i="2"/>
  <c r="L65" i="2"/>
  <c r="N65" i="2" s="1"/>
  <c r="K65" i="2"/>
  <c r="R60" i="2"/>
  <c r="R61" i="2"/>
  <c r="R59" i="2"/>
  <c r="S64" i="2" l="1"/>
  <c r="N61" i="2"/>
  <c r="N60" i="2"/>
  <c r="N59" i="2" l="1"/>
  <c r="K59" i="2"/>
  <c r="S59" i="2" s="1"/>
  <c r="K61" i="2"/>
  <c r="S61" i="2" s="1"/>
  <c r="K60" i="2"/>
  <c r="S60" i="2" s="1"/>
  <c r="N40" i="2"/>
  <c r="K40" i="2"/>
  <c r="N6" i="2" l="1"/>
  <c r="K6" i="2"/>
  <c r="N16" i="2"/>
  <c r="K16" i="2"/>
  <c r="N27" i="2"/>
  <c r="K27" i="2"/>
  <c r="N36" i="2"/>
  <c r="K36" i="2"/>
  <c r="S36" i="2" s="1"/>
  <c r="N51" i="2"/>
  <c r="K51" i="2"/>
  <c r="Q55" i="2"/>
  <c r="S55" i="2" s="1"/>
  <c r="Q53" i="2"/>
  <c r="S53" i="2" s="1"/>
  <c r="N55" i="2"/>
  <c r="K55" i="2"/>
  <c r="N53" i="2"/>
  <c r="K53" i="2"/>
  <c r="N47" i="2"/>
  <c r="K47" i="2"/>
  <c r="N46" i="2"/>
  <c r="K46" i="2"/>
  <c r="Q56" i="2"/>
  <c r="S56" i="2" s="1"/>
  <c r="Q54" i="2"/>
  <c r="S54" i="2" s="1"/>
  <c r="Q52" i="2"/>
  <c r="S52" i="2" s="1"/>
  <c r="Q84" i="2"/>
  <c r="N56" i="2"/>
  <c r="K56" i="2"/>
  <c r="N54" i="2"/>
  <c r="K54" i="2"/>
  <c r="N52" i="2"/>
  <c r="K52" i="2"/>
  <c r="N48" i="2" l="1"/>
  <c r="K48" i="2"/>
  <c r="N37" i="2"/>
  <c r="K37" i="2"/>
  <c r="S37" i="2" s="1"/>
  <c r="N35" i="2"/>
  <c r="K35" i="2"/>
  <c r="S35" i="2" s="1"/>
  <c r="N45" i="2"/>
  <c r="K45" i="2"/>
  <c r="N44" i="2"/>
  <c r="K44" i="2"/>
  <c r="N43" i="2"/>
  <c r="K43" i="2"/>
  <c r="N39" i="2"/>
  <c r="K39" i="2"/>
  <c r="S39" i="2" s="1"/>
  <c r="N38" i="2"/>
  <c r="K38" i="2"/>
  <c r="S38" i="2" s="1"/>
  <c r="N34" i="2"/>
  <c r="K34" i="2"/>
  <c r="S34" i="2" s="1"/>
  <c r="N33" i="2"/>
  <c r="K33" i="2"/>
  <c r="S33" i="2" s="1"/>
  <c r="R30" i="2"/>
  <c r="R29" i="2"/>
  <c r="R28" i="2"/>
  <c r="R26" i="2"/>
  <c r="R25" i="2"/>
  <c r="R24" i="2"/>
  <c r="Q29" i="2"/>
  <c r="N29" i="2"/>
  <c r="K29" i="2"/>
  <c r="Q30" i="2"/>
  <c r="Q28" i="2"/>
  <c r="Q26" i="2"/>
  <c r="Q25" i="2"/>
  <c r="Q24" i="2"/>
  <c r="N30" i="2"/>
  <c r="K30" i="2"/>
  <c r="N24" i="2"/>
  <c r="K24" i="2"/>
  <c r="N28" i="2"/>
  <c r="K28" i="2"/>
  <c r="L26" i="2" l="1"/>
  <c r="N26" i="2" s="1"/>
  <c r="K26" i="2"/>
  <c r="N25" i="2"/>
  <c r="K25" i="2"/>
  <c r="N14" i="2" l="1"/>
  <c r="K14" i="2"/>
  <c r="N19" i="2"/>
  <c r="K19" i="2"/>
  <c r="N18" i="2"/>
  <c r="K18" i="2"/>
  <c r="N21" i="2" l="1"/>
  <c r="K21" i="2"/>
  <c r="N20" i="2"/>
  <c r="K20" i="2"/>
  <c r="N17" i="2"/>
  <c r="K17" i="2"/>
  <c r="N15" i="2"/>
  <c r="K15" i="2"/>
  <c r="N10" i="2" l="1"/>
  <c r="N9" i="2"/>
  <c r="N8" i="2"/>
  <c r="N7" i="2"/>
  <c r="K10" i="2"/>
  <c r="K8" i="2"/>
  <c r="K9" i="2"/>
  <c r="K7" i="2"/>
</calcChain>
</file>

<file path=xl/sharedStrings.xml><?xml version="1.0" encoding="utf-8"?>
<sst xmlns="http://schemas.openxmlformats.org/spreadsheetml/2006/main" count="165" uniqueCount="112">
  <si>
    <t>Sample</t>
  </si>
  <si>
    <r>
      <t>Target T (</t>
    </r>
    <r>
      <rPr>
        <b/>
        <sz val="11"/>
        <color theme="1"/>
        <rFont val="Calibri"/>
        <family val="2"/>
      </rPr>
      <t>°C)</t>
    </r>
  </si>
  <si>
    <t>Flow rate (tot. mL/min)</t>
  </si>
  <si>
    <r>
      <t>Ratio 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O:EtOH</t>
    </r>
  </si>
  <si>
    <r>
      <t>Conc. (M) ZnOAc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</si>
  <si>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Conc. (M) CA</t>
  </si>
  <si>
    <r>
      <t>Conc. (M) KOH (</t>
    </r>
    <r>
      <rPr>
        <b/>
        <sz val="11"/>
        <color rgb="FFFF0000"/>
        <rFont val="Calibri"/>
        <family val="2"/>
        <scheme val="minor"/>
      </rPr>
      <t>old</t>
    </r>
    <r>
      <rPr>
        <b/>
        <sz val="11"/>
        <color theme="1"/>
        <rFont val="Calibri"/>
        <family val="2"/>
        <scheme val="minor"/>
      </rPr>
      <t>)</t>
    </r>
  </si>
  <si>
    <t>Conc. (M) KOH</t>
  </si>
  <si>
    <t>Notes</t>
  </si>
  <si>
    <t>CO2 ads (normalised) (%)</t>
  </si>
  <si>
    <t>CO2 ads (mmol/g)</t>
  </si>
  <si>
    <t>Yield (g)</t>
  </si>
  <si>
    <t>Activation (%)</t>
  </si>
  <si>
    <t>Yield (%)</t>
  </si>
  <si>
    <t>FWHM (7.5 deg peak)</t>
  </si>
  <si>
    <t>Gross Int. (cps) (7.5 deg peak)</t>
  </si>
  <si>
    <t>Co2 vs KOH</t>
  </si>
  <si>
    <t>FU-27A</t>
  </si>
  <si>
    <t>1:1</t>
  </si>
  <si>
    <t>Very precip/gel, clogging reactor</t>
  </si>
  <si>
    <t>FU-27B</t>
  </si>
  <si>
    <t>FU-39B</t>
  </si>
  <si>
    <t>FU-28A</t>
  </si>
  <si>
    <t>Little precip</t>
  </si>
  <si>
    <t>FU-29B</t>
  </si>
  <si>
    <t>FU-28C</t>
  </si>
  <si>
    <t>Little precip, FU-27D re-run</t>
  </si>
  <si>
    <t>FU-29C</t>
  </si>
  <si>
    <t>FU-25D</t>
  </si>
  <si>
    <t>Actual yield: 0.103 (scaled down)</t>
  </si>
  <si>
    <t>CO2 vs CA.KOH</t>
  </si>
  <si>
    <t>FU-32D</t>
  </si>
  <si>
    <t>FU-31A</t>
  </si>
  <si>
    <t>lots precip, some clogging</t>
  </si>
  <si>
    <t>FU-31C</t>
  </si>
  <si>
    <t>lots precip</t>
  </si>
  <si>
    <t>FU-32B</t>
  </si>
  <si>
    <t>FU-32C</t>
  </si>
  <si>
    <t>FU-30A</t>
  </si>
  <si>
    <t xml:space="preserve">Tiny precip </t>
  </si>
  <si>
    <t>FU-30C</t>
  </si>
  <si>
    <t>No precip</t>
  </si>
  <si>
    <t>CO2 vs H2O/EtOH</t>
  </si>
  <si>
    <t>Ratio H2O/EtOH</t>
  </si>
  <si>
    <t>H2O fraction</t>
  </si>
  <si>
    <t>FU-34C</t>
  </si>
  <si>
    <t>2:1</t>
  </si>
  <si>
    <t>FU-33A</t>
  </si>
  <si>
    <t>1.3:1</t>
  </si>
  <si>
    <t>FU-33B</t>
  </si>
  <si>
    <t>1.1:1</t>
  </si>
  <si>
    <t>FU-34A</t>
  </si>
  <si>
    <t>1:1.1</t>
  </si>
  <si>
    <t>FU-33D</t>
  </si>
  <si>
    <t>1:1.3</t>
  </si>
  <si>
    <t>FU-34D</t>
  </si>
  <si>
    <t>1:2</t>
  </si>
  <si>
    <t>mass production rate (g/h)</t>
  </si>
  <si>
    <t>ads production rate (mmol/h)</t>
  </si>
  <si>
    <t>CO2 vs flow rate</t>
  </si>
  <si>
    <t>Reaction time (h)</t>
  </si>
  <si>
    <t>FU-35A</t>
  </si>
  <si>
    <t>FU-35B</t>
  </si>
  <si>
    <t>FU-37B</t>
  </si>
  <si>
    <t>FU-37C</t>
  </si>
  <si>
    <t>FU-35C</t>
  </si>
  <si>
    <t>FU-35D</t>
  </si>
  <si>
    <t>FU-41A</t>
  </si>
  <si>
    <t>160 mL/min mix and collect, 20 mL/min through heater</t>
  </si>
  <si>
    <t>CO2 vs T</t>
  </si>
  <si>
    <t>FU-36A</t>
  </si>
  <si>
    <t>FU-36B</t>
  </si>
  <si>
    <t>FU-36C</t>
  </si>
  <si>
    <t>FU-39A</t>
  </si>
  <si>
    <t>FU-37E</t>
  </si>
  <si>
    <t>Use back P to prevent boiling</t>
  </si>
  <si>
    <t>CO2 vs Mg %</t>
  </si>
  <si>
    <t>Mg mole fraction (exp)</t>
  </si>
  <si>
    <t>Mg mole fraction (ICP)</t>
  </si>
  <si>
    <t>% Mg incorporated (act/exp)</t>
  </si>
  <si>
    <t>FU-38B</t>
  </si>
  <si>
    <r>
      <t>0.05 M MgOAc</t>
    </r>
    <r>
      <rPr>
        <vertAlign val="subscript"/>
        <sz val="11"/>
        <color theme="1"/>
        <rFont val="Calibri"/>
        <family val="2"/>
        <scheme val="minor"/>
      </rPr>
      <t>2</t>
    </r>
  </si>
  <si>
    <t>FU-39C</t>
  </si>
  <si>
    <r>
      <t>0.075 M MgOAc</t>
    </r>
    <r>
      <rPr>
        <vertAlign val="subscript"/>
        <sz val="11"/>
        <color theme="1"/>
        <rFont val="Calibri"/>
        <family val="2"/>
        <scheme val="minor"/>
      </rPr>
      <t>2</t>
    </r>
  </si>
  <si>
    <t>FU-38C</t>
  </si>
  <si>
    <r>
      <t>0.1 M MgOAc</t>
    </r>
    <r>
      <rPr>
        <vertAlign val="subscript"/>
        <sz val="11"/>
        <color theme="1"/>
        <rFont val="Calibri"/>
        <family val="2"/>
        <scheme val="minor"/>
      </rPr>
      <t>2</t>
    </r>
  </si>
  <si>
    <t>FU-39D</t>
  </si>
  <si>
    <r>
      <t>0.125 M MgOAc</t>
    </r>
    <r>
      <rPr>
        <vertAlign val="subscript"/>
        <sz val="11"/>
        <color theme="1"/>
        <rFont val="Calibri"/>
        <family val="2"/>
        <scheme val="minor"/>
      </rPr>
      <t>2</t>
    </r>
  </si>
  <si>
    <t>FU-38D</t>
  </si>
  <si>
    <r>
      <t>0.2 M MgOAc</t>
    </r>
    <r>
      <rPr>
        <vertAlign val="subscript"/>
        <sz val="11"/>
        <color theme="1"/>
        <rFont val="Calibri"/>
        <family val="2"/>
        <scheme val="minor"/>
      </rPr>
      <t>2</t>
    </r>
  </si>
  <si>
    <t>CO2 vs MNP %</t>
  </si>
  <si>
    <t>MNP content (%, VSM)</t>
  </si>
  <si>
    <t>MOF content (%, VSM)</t>
  </si>
  <si>
    <t>CO2 ads by MOF</t>
  </si>
  <si>
    <t>FU-40A</t>
  </si>
  <si>
    <t>0.025 g MNPs (0.5 mL 5% soln)</t>
  </si>
  <si>
    <t>FU-40B</t>
  </si>
  <si>
    <t>0.1 g MNPs (2 mL 5% soln)</t>
  </si>
  <si>
    <t>CO2 vs scale/wash</t>
  </si>
  <si>
    <t>FU-40C</t>
  </si>
  <si>
    <t>10x scale batch, lots precip, solvent exchange mix with stirrer</t>
  </si>
  <si>
    <t>FU-40CW</t>
  </si>
  <si>
    <t>FU-40C extra washing: 6 x 40 mL exchanges over 5 days</t>
  </si>
  <si>
    <t>-</t>
  </si>
  <si>
    <t>CO2 vs scale/wash bar chart</t>
  </si>
  <si>
    <t>X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</si>
  <si>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</si>
  <si>
    <t>b</t>
  </si>
  <si>
    <t>Yield</t>
  </si>
  <si>
    <t>1 g scale</t>
  </si>
  <si>
    <t>10 g scale</t>
  </si>
  <si>
    <t>10 g scale extra washing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</si>
</sst>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0" fillId="2" borderId="0" xfId="0" applyNumberFormat="1" applyFill="1" applyAlignment="1">
      <alignment horizontal="center"/>
    </xf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0" borderId="0" xfId="0" applyNumberFormat="1"/>
    <xf numFmtId="1" fontId="0" fillId="0" borderId="0" xfId="0" applyNumberFormat="1"/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hartsheet" Target="chartsheets/sheet12.xml"/><Relationship Id="rId18" Type="http://schemas.openxmlformats.org/officeDocument/2006/relationships/calcChain" Target="calcChain.xml"/><Relationship Id="rId3" Type="http://schemas.openxmlformats.org/officeDocument/2006/relationships/chartsheet" Target="chartsheets/sheet2.xml"/><Relationship Id="rId21" Type="http://schemas.openxmlformats.org/officeDocument/2006/relationships/customXml" Target="../customXml/item3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1.xml"/><Relationship Id="rId1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4.xml"/><Relationship Id="rId15" Type="http://schemas.openxmlformats.org/officeDocument/2006/relationships/theme" Target="theme/theme1.xml"/><Relationship Id="rId10" Type="http://schemas.openxmlformats.org/officeDocument/2006/relationships/chartsheet" Target="chartsheets/sheet9.xml"/><Relationship Id="rId19" Type="http://schemas.openxmlformats.org/officeDocument/2006/relationships/customXml" Target="../customXml/item1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chartsheet" Target="chartsheets/sheet1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Data!$H$4:$H$11</c:f>
              <c:numCache>
                <c:formatCode>0.00</c:formatCode>
                <c:ptCount val="8"/>
                <c:pt idx="0">
                  <c:v>1.3005</c:v>
                </c:pt>
                <c:pt idx="1">
                  <c:v>1.4088750000000001</c:v>
                </c:pt>
                <c:pt idx="2" formatCode="General">
                  <c:v>1.5</c:v>
                </c:pt>
                <c:pt idx="3" formatCode="General">
                  <c:v>1.59</c:v>
                </c:pt>
                <c:pt idx="4" formatCode="General">
                  <c:v>1.67</c:v>
                </c:pt>
                <c:pt idx="5" formatCode="General">
                  <c:v>1.73</c:v>
                </c:pt>
                <c:pt idx="6" formatCode="General">
                  <c:v>1.8</c:v>
                </c:pt>
                <c:pt idx="7">
                  <c:v>1.95075</c:v>
                </c:pt>
              </c:numCache>
            </c:numRef>
          </c:xVal>
          <c:yVal>
            <c:numRef>
              <c:f>Data!$K$4:$K$11</c:f>
              <c:numCache>
                <c:formatCode>0.0</c:formatCode>
                <c:ptCount val="8"/>
                <c:pt idx="0">
                  <c:v>1.4246762099522858</c:v>
                </c:pt>
                <c:pt idx="1">
                  <c:v>1.9216087252897103</c:v>
                </c:pt>
                <c:pt idx="2">
                  <c:v>3.5719154737559706</c:v>
                </c:pt>
                <c:pt idx="3">
                  <c:v>3.4083162917518801</c:v>
                </c:pt>
                <c:pt idx="4">
                  <c:v>3.3492388093615144</c:v>
                </c:pt>
                <c:pt idx="5">
                  <c:v>3.5446489434219552</c:v>
                </c:pt>
                <c:pt idx="6">
                  <c:v>3.2947057486934841</c:v>
                </c:pt>
                <c:pt idx="7">
                  <c:v>1.0031810952056368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74-43DF-8697-67E9238E8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scatterChart>
        <c:scatterStyle val="lineMarker"/>
        <c:varyColors val="0"/>
        <c:ser>
          <c:idx val="1"/>
          <c:order val="1"/>
          <c:tx>
            <c:v>Yield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Data!$H$4:$H$11</c:f>
              <c:numCache>
                <c:formatCode>0.00</c:formatCode>
                <c:ptCount val="8"/>
                <c:pt idx="0">
                  <c:v>1.3005</c:v>
                </c:pt>
                <c:pt idx="1">
                  <c:v>1.4088750000000001</c:v>
                </c:pt>
                <c:pt idx="2" formatCode="General">
                  <c:v>1.5</c:v>
                </c:pt>
                <c:pt idx="3" formatCode="General">
                  <c:v>1.59</c:v>
                </c:pt>
                <c:pt idx="4" formatCode="General">
                  <c:v>1.67</c:v>
                </c:pt>
                <c:pt idx="5" formatCode="General">
                  <c:v>1.73</c:v>
                </c:pt>
                <c:pt idx="6" formatCode="General">
                  <c:v>1.8</c:v>
                </c:pt>
                <c:pt idx="7">
                  <c:v>1.95075</c:v>
                </c:pt>
              </c:numCache>
            </c:numRef>
          </c:xVal>
          <c:yVal>
            <c:numRef>
              <c:f>Data!$N$4:$N$11</c:f>
              <c:numCache>
                <c:formatCode>0</c:formatCode>
                <c:ptCount val="8"/>
                <c:pt idx="0">
                  <c:v>37.225738939495315</c:v>
                </c:pt>
                <c:pt idx="1">
                  <c:v>41.759604709083085</c:v>
                </c:pt>
                <c:pt idx="2">
                  <c:v>49.860275275101166</c:v>
                </c:pt>
                <c:pt idx="3">
                  <c:v>43.015837878086572</c:v>
                </c:pt>
                <c:pt idx="4">
                  <c:v>39.126160314468216</c:v>
                </c:pt>
                <c:pt idx="5">
                  <c:v>36.448257492920618</c:v>
                </c:pt>
                <c:pt idx="6">
                  <c:v>28.623380834909266</c:v>
                </c:pt>
                <c:pt idx="7">
                  <c:v>8.9165909189282786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D74-43DF-8697-67E9238E8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253120"/>
        <c:axId val="937250208"/>
      </c:scatterChart>
      <c:valAx>
        <c:axId val="933937824"/>
        <c:scaling>
          <c:orientation val="minMax"/>
          <c:min val="1.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KOH concentration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  <c:majorUnit val="0.1"/>
      </c:valAx>
      <c:valAx>
        <c:axId val="4215223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adsorption (mmol/g)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  <c:majorUnit val="1"/>
      </c:valAx>
      <c:valAx>
        <c:axId val="93725020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253120"/>
        <c:crosses val="max"/>
        <c:crossBetween val="midCat"/>
        <c:majorUnit val="20"/>
      </c:valAx>
      <c:valAx>
        <c:axId val="93725312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93725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50800">
                <a:solidFill>
                  <a:schemeClr val="accent6"/>
                </a:solidFill>
              </a:ln>
              <a:effectLst/>
            </c:spPr>
          </c:marker>
          <c:trendline>
            <c:spPr>
              <a:ln w="31750" cap="rnd">
                <a:solidFill>
                  <a:srgbClr val="7030A0"/>
                </a:solidFill>
                <a:prstDash val="lgDash"/>
              </a:ln>
              <a:effectLst/>
            </c:spPr>
            <c:trendlineType val="linear"/>
            <c:intercept val="0"/>
            <c:dispRSqr val="0"/>
            <c:dispEq val="1"/>
            <c:trendlineLbl>
              <c:layout>
                <c:manualLayout>
                  <c:x val="-4.0994834053354544E-2"/>
                  <c:y val="-2.6677167277127092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8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2400" baseline="0"/>
                      <a:t>y = 0.0812x</a:t>
                    </a:r>
                    <a:endParaRPr lang="en-US" sz="28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Data!$Q$51:$Q$56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0.4</c:v>
                </c:pt>
              </c:numCache>
            </c:numRef>
          </c:xVal>
          <c:yVal>
            <c:numRef>
              <c:f>Data!$R$51:$R$56</c:f>
              <c:numCache>
                <c:formatCode>0.0000</c:formatCode>
                <c:ptCount val="6"/>
                <c:pt idx="0">
                  <c:v>0</c:v>
                </c:pt>
                <c:pt idx="1">
                  <c:v>6.325331950362236E-3</c:v>
                </c:pt>
                <c:pt idx="2">
                  <c:v>1.256825259141453E-2</c:v>
                </c:pt>
                <c:pt idx="3">
                  <c:v>1.8138478919280044E-2</c:v>
                </c:pt>
                <c:pt idx="4">
                  <c:v>2.0405261732727352E-2</c:v>
                </c:pt>
                <c:pt idx="5">
                  <c:v>3.1789483022273239E-2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A6-46EB-A0D2-5030C2674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334128"/>
        <c:axId val="745676112"/>
      </c:scatterChart>
      <c:valAx>
        <c:axId val="748334128"/>
        <c:scaling>
          <c:orientation val="minMax"/>
          <c:max val="0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Mg metal mole fraction in reactants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676112"/>
        <c:crosses val="autoZero"/>
        <c:crossBetween val="midCat"/>
        <c:majorUnit val="0.1"/>
      </c:valAx>
      <c:valAx>
        <c:axId val="7456761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 b="0" i="0" baseline="0">
                    <a:solidFill>
                      <a:sysClr val="windowText" lastClr="000000"/>
                    </a:solidFill>
                    <a:effectLst/>
                  </a:rPr>
                  <a:t>Mg metal mole fraction in products</a:t>
                </a:r>
                <a:endParaRPr lang="en-GB" sz="24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9.5544272948385571E-3"/>
              <c:y val="6.69241137271402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334128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50800">
                <a:solidFill>
                  <a:schemeClr val="accent6"/>
                </a:solidFill>
              </a:ln>
              <a:effectLst/>
            </c:spPr>
          </c:marker>
          <c:xVal>
            <c:numRef>
              <c:f>Data!$Q$52:$Q$56</c:f>
              <c:numCache>
                <c:formatCode>General</c:formatCode>
                <c:ptCount val="5"/>
                <c:pt idx="0">
                  <c:v>0.1</c:v>
                </c:pt>
                <c:pt idx="1">
                  <c:v>0.15</c:v>
                </c:pt>
                <c:pt idx="2">
                  <c:v>0.2</c:v>
                </c:pt>
                <c:pt idx="3">
                  <c:v>0.25</c:v>
                </c:pt>
                <c:pt idx="4">
                  <c:v>0.4</c:v>
                </c:pt>
              </c:numCache>
            </c:numRef>
          </c:xVal>
          <c:yVal>
            <c:numRef>
              <c:f>Data!$S$52:$S$56</c:f>
              <c:numCache>
                <c:formatCode>0.0</c:formatCode>
                <c:ptCount val="5"/>
                <c:pt idx="0">
                  <c:v>6.3253319503622354</c:v>
                </c:pt>
                <c:pt idx="1">
                  <c:v>8.3788350609430218</c:v>
                </c:pt>
                <c:pt idx="2">
                  <c:v>9.0692394596400216</c:v>
                </c:pt>
                <c:pt idx="3">
                  <c:v>8.1621046930909404</c:v>
                </c:pt>
                <c:pt idx="4">
                  <c:v>7.9473707555683086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47-4D4D-968F-E0042C128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334128"/>
        <c:axId val="745676112"/>
      </c:scatterChart>
      <c:valAx>
        <c:axId val="748334128"/>
        <c:scaling>
          <c:orientation val="minMax"/>
          <c:max val="0.4"/>
          <c:min val="0.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ysClr val="windowText" lastClr="000000"/>
                    </a:solidFill>
                  </a:rPr>
                  <a:t>Mg metal mole fraction in reactants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676112"/>
        <c:crosses val="autoZero"/>
        <c:crossBetween val="midCat"/>
        <c:majorUnit val="0.1"/>
      </c:valAx>
      <c:valAx>
        <c:axId val="745676112"/>
        <c:scaling>
          <c:orientation val="minMax"/>
          <c:max val="10"/>
          <c:min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solidFill>
                      <a:sysClr val="windowText" lastClr="000000"/>
                    </a:solidFill>
                    <a:effectLst/>
                  </a:rPr>
                  <a:t>Mg incorporation actual/expected (%)</a:t>
                </a:r>
                <a:endParaRPr lang="en-GB">
                  <a:solidFill>
                    <a:sysClr val="windowText" lastClr="000000"/>
                  </a:solidFill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33412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1"/>
          <c:tx>
            <c:v>CO2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Data!$Q$59:$Q$61</c:f>
              <c:numCache>
                <c:formatCode>0.00</c:formatCode>
                <c:ptCount val="3"/>
                <c:pt idx="0" formatCode="General">
                  <c:v>0</c:v>
                </c:pt>
                <c:pt idx="1">
                  <c:v>2.9</c:v>
                </c:pt>
                <c:pt idx="2">
                  <c:v>11.4</c:v>
                </c:pt>
              </c:numCache>
            </c:numRef>
          </c:xVal>
          <c:yVal>
            <c:numRef>
              <c:f>Data!$K$59:$K$61</c:f>
              <c:numCache>
                <c:formatCode>0.0</c:formatCode>
                <c:ptCount val="3"/>
                <c:pt idx="0">
                  <c:v>3.5719154737559706</c:v>
                </c:pt>
                <c:pt idx="1">
                  <c:v>3.5241990456714438</c:v>
                </c:pt>
                <c:pt idx="2">
                  <c:v>3.1038400363553791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6D-46B8-AA45-F0E75B9C262E}"/>
            </c:ext>
          </c:extLst>
        </c:ser>
        <c:ser>
          <c:idx val="0"/>
          <c:order val="2"/>
          <c:tx>
            <c:v>CO2 by MOF</c:v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50800">
                <a:solidFill>
                  <a:schemeClr val="accent6"/>
                </a:solidFill>
              </a:ln>
              <a:effectLst/>
            </c:spPr>
          </c:marker>
          <c:xVal>
            <c:numRef>
              <c:f>Data!$Q$59:$Q$61</c:f>
              <c:numCache>
                <c:formatCode>0.00</c:formatCode>
                <c:ptCount val="3"/>
                <c:pt idx="0" formatCode="General">
                  <c:v>0</c:v>
                </c:pt>
                <c:pt idx="1">
                  <c:v>2.9</c:v>
                </c:pt>
                <c:pt idx="2">
                  <c:v>11.4</c:v>
                </c:pt>
              </c:numCache>
            </c:numRef>
          </c:xVal>
          <c:yVal>
            <c:numRef>
              <c:f>Data!$S$59:$S$61</c:f>
              <c:numCache>
                <c:formatCode>0.0</c:formatCode>
                <c:ptCount val="3"/>
                <c:pt idx="0">
                  <c:v>3.5719154737559706</c:v>
                </c:pt>
                <c:pt idx="1">
                  <c:v>3.629453188127131</c:v>
                </c:pt>
                <c:pt idx="2">
                  <c:v>3.5032054586403829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46D-46B8-AA45-F0E75B9C2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scatterChart>
        <c:scatterStyle val="lineMarker"/>
        <c:varyColors val="0"/>
        <c:ser>
          <c:idx val="1"/>
          <c:order val="0"/>
          <c:tx>
            <c:v>Yield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Data!$Q$59:$Q$61</c:f>
              <c:numCache>
                <c:formatCode>0.00</c:formatCode>
                <c:ptCount val="3"/>
                <c:pt idx="0" formatCode="General">
                  <c:v>0</c:v>
                </c:pt>
                <c:pt idx="1">
                  <c:v>2.9</c:v>
                </c:pt>
                <c:pt idx="2">
                  <c:v>11.4</c:v>
                </c:pt>
              </c:numCache>
            </c:numRef>
          </c:xVal>
          <c:yVal>
            <c:numRef>
              <c:f>Data!$N$59:$N$61</c:f>
              <c:numCache>
                <c:formatCode>0</c:formatCode>
                <c:ptCount val="3"/>
                <c:pt idx="0">
                  <c:v>49.860275275101166</c:v>
                </c:pt>
                <c:pt idx="1">
                  <c:v>52.485038032996769</c:v>
                </c:pt>
                <c:pt idx="2">
                  <c:v>48.721765621367993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6D-46B8-AA45-F0E75B9C2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019264"/>
        <c:axId val="603528880"/>
      </c:scatterChart>
      <c:valAx>
        <c:axId val="933937824"/>
        <c:scaling>
          <c:orientation val="minMax"/>
          <c:max val="1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MNP-CA content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  <c:majorUnit val="4"/>
      </c:valAx>
      <c:valAx>
        <c:axId val="4215223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adsorption (mmol/g)</a:t>
                </a:r>
              </a:p>
            </c:rich>
          </c:tx>
          <c:layout>
            <c:manualLayout>
              <c:xMode val="edge"/>
              <c:yMode val="edge"/>
              <c:x val="9.5544272948385571E-3"/>
              <c:y val="0.186079823837230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  <c:majorUnit val="1"/>
      </c:valAx>
      <c:valAx>
        <c:axId val="603528880"/>
        <c:scaling>
          <c:orientation val="minMax"/>
          <c:max val="1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24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019264"/>
        <c:crosses val="max"/>
        <c:crossBetween val="midCat"/>
        <c:majorUnit val="20"/>
      </c:valAx>
      <c:valAx>
        <c:axId val="600019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3528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Data!$D$92</c:f>
              <c:strCache>
                <c:ptCount val="1"/>
                <c:pt idx="0">
                  <c:v>CO2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Data!$C$93:$C$95</c:f>
              <c:strCache>
                <c:ptCount val="3"/>
                <c:pt idx="0">
                  <c:v>1 g scale</c:v>
                </c:pt>
                <c:pt idx="1">
                  <c:v>10 g scale</c:v>
                </c:pt>
                <c:pt idx="2">
                  <c:v>10 g scale extra washing</c:v>
                </c:pt>
              </c:strCache>
            </c:strRef>
          </c:cat>
          <c:val>
            <c:numRef>
              <c:f>Data!$D$93:$D$95</c:f>
              <c:numCache>
                <c:formatCode>0.0</c:formatCode>
                <c:ptCount val="3"/>
                <c:pt idx="0">
                  <c:v>3.5719154737559706</c:v>
                </c:pt>
                <c:pt idx="1">
                  <c:v>3.5923653715064816</c:v>
                </c:pt>
                <c:pt idx="2">
                  <c:v>3.7923199272892587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A-4150-9E06-52F81F2D74E4}"/>
            </c:ext>
          </c:extLst>
        </c:ser>
        <c:ser>
          <c:idx val="1"/>
          <c:order val="1"/>
          <c:tx>
            <c:strRef>
              <c:f>Data!$E$92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Data!$C$93:$C$95</c:f>
              <c:strCache>
                <c:ptCount val="3"/>
                <c:pt idx="0">
                  <c:v>1 g scale</c:v>
                </c:pt>
                <c:pt idx="1">
                  <c:v>10 g scale</c:v>
                </c:pt>
                <c:pt idx="2">
                  <c:v>10 g scale extra washing</c:v>
                </c:pt>
              </c:strCache>
            </c:strRef>
          </c:cat>
          <c:val>
            <c:numRef>
              <c:f>Data!$E$93:$E$95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0FBA-4150-9E06-52F81F2D74E4}"/>
            </c:ext>
          </c:extLst>
        </c:ser>
        <c:ser>
          <c:idx val="3"/>
          <c:order val="3"/>
          <c:tx>
            <c:strRef>
              <c:f>Data!$G$92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Data!$C$93:$C$95</c:f>
              <c:strCache>
                <c:ptCount val="3"/>
                <c:pt idx="0">
                  <c:v>1 g scale</c:v>
                </c:pt>
                <c:pt idx="1">
                  <c:v>10 g scale</c:v>
                </c:pt>
                <c:pt idx="2">
                  <c:v>10 g scale extra washing</c:v>
                </c:pt>
              </c:strCache>
            </c:strRef>
          </c:cat>
          <c:val>
            <c:numRef>
              <c:f>Data!$G$93:$G$95</c:f>
            </c:numRef>
          </c:val>
          <c:extLst>
            <c:ext xmlns:c16="http://schemas.microsoft.com/office/drawing/2014/chart" uri="{C3380CC4-5D6E-409C-BE32-E72D297353CC}">
              <c16:uniqueId val="{00000003-0FBA-4150-9E06-52F81F2D7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00312560"/>
        <c:axId val="613523088"/>
      </c:barChart>
      <c:barChart>
        <c:barDir val="col"/>
        <c:grouping val="clustered"/>
        <c:varyColors val="0"/>
        <c:ser>
          <c:idx val="2"/>
          <c:order val="2"/>
          <c:tx>
            <c:strRef>
              <c:f>Data!$F$92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Data!$C$93:$C$95</c:f>
              <c:strCache>
                <c:ptCount val="3"/>
                <c:pt idx="0">
                  <c:v>1 g scale</c:v>
                </c:pt>
                <c:pt idx="1">
                  <c:v>10 g scale</c:v>
                </c:pt>
                <c:pt idx="2">
                  <c:v>10 g scale extra washing</c:v>
                </c:pt>
              </c:strCache>
            </c:strRef>
          </c:cat>
          <c:val>
            <c:numRef>
              <c:f>Data!$F$93:$F$95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0FBA-4150-9E06-52F81F2D74E4}"/>
            </c:ext>
          </c:extLst>
        </c:ser>
        <c:ser>
          <c:idx val="4"/>
          <c:order val="4"/>
          <c:tx>
            <c:strRef>
              <c:f>Data!$H$92</c:f>
              <c:strCache>
                <c:ptCount val="1"/>
                <c:pt idx="0">
                  <c:v>Yield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Data!$C$93:$C$95</c:f>
              <c:strCache>
                <c:ptCount val="3"/>
                <c:pt idx="0">
                  <c:v>1 g scale</c:v>
                </c:pt>
                <c:pt idx="1">
                  <c:v>10 g scale</c:v>
                </c:pt>
                <c:pt idx="2">
                  <c:v>10 g scale extra washing</c:v>
                </c:pt>
              </c:strCache>
            </c:strRef>
          </c:cat>
          <c:val>
            <c:numRef>
              <c:f>Data!$H$93:$H$95</c:f>
              <c:numCache>
                <c:formatCode>0</c:formatCode>
                <c:ptCount val="3"/>
                <c:pt idx="0">
                  <c:v>49.860275275101166</c:v>
                </c:pt>
                <c:pt idx="1">
                  <c:v>58.715569317741277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BA-4150-9E06-52F81F2D7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07733888"/>
        <c:axId val="496143232"/>
      </c:barChart>
      <c:catAx>
        <c:axId val="70031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 rtl="0">
              <a:defRPr lang="en-US" sz="2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523088"/>
        <c:crosses val="autoZero"/>
        <c:auto val="1"/>
        <c:lblAlgn val="ctr"/>
        <c:lblOffset val="100"/>
        <c:noMultiLvlLbl val="0"/>
      </c:catAx>
      <c:valAx>
        <c:axId val="613523088"/>
        <c:scaling>
          <c:orientation val="minMax"/>
          <c:max val="4"/>
          <c:min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n-GB"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 b="0" i="0" baseline="0">
                    <a:effectLst/>
                  </a:rPr>
                  <a:t>CO</a:t>
                </a:r>
                <a:r>
                  <a:rPr lang="en-US" sz="2400" b="0" i="0" baseline="-25000">
                    <a:effectLst/>
                  </a:rPr>
                  <a:t>2</a:t>
                </a:r>
                <a:r>
                  <a:rPr lang="en-US" sz="2400" b="0" i="0" baseline="0">
                    <a:effectLst/>
                  </a:rPr>
                  <a:t> adsorption (mmol/g)</a:t>
                </a:r>
                <a:endParaRPr lang="en-GB" sz="2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n-GB"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312560"/>
        <c:crosses val="autoZero"/>
        <c:crossBetween val="between"/>
        <c:majorUnit val="0.2"/>
      </c:valAx>
      <c:valAx>
        <c:axId val="496143232"/>
        <c:scaling>
          <c:orientation val="minMax"/>
          <c:max val="60"/>
          <c:min val="4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24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7733888"/>
        <c:crosses val="max"/>
        <c:crossBetween val="between"/>
        <c:majorUnit val="5"/>
      </c:valAx>
      <c:catAx>
        <c:axId val="70773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6143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814498590856316"/>
          <c:y val="6.3381145008636508E-2"/>
          <c:w val="0.14845946413312058"/>
          <c:h val="0.1561491347774525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2400" b="0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Data!$F$14:$F$21</c:f>
              <c:numCache>
                <c:formatCode>General</c:formatCode>
                <c:ptCount val="8"/>
                <c:pt idx="0">
                  <c:v>0.4</c:v>
                </c:pt>
                <c:pt idx="1">
                  <c:v>0.45</c:v>
                </c:pt>
                <c:pt idx="2">
                  <c:v>0.5</c:v>
                </c:pt>
                <c:pt idx="3">
                  <c:v>0.51</c:v>
                </c:pt>
                <c:pt idx="4">
                  <c:v>0.52</c:v>
                </c:pt>
                <c:pt idx="5">
                  <c:v>0.53</c:v>
                </c:pt>
                <c:pt idx="6">
                  <c:v>0.55000000000000004</c:v>
                </c:pt>
                <c:pt idx="7">
                  <c:v>0.6</c:v>
                </c:pt>
              </c:numCache>
            </c:numRef>
          </c:xVal>
          <c:yVal>
            <c:numRef>
              <c:f>Data!$K$14:$K$21</c:f>
              <c:numCache>
                <c:formatCode>0.0</c:formatCode>
                <c:ptCount val="8"/>
                <c:pt idx="0">
                  <c:v>2.0899795501022531</c:v>
                </c:pt>
                <c:pt idx="1">
                  <c:v>3.3833219722790333</c:v>
                </c:pt>
                <c:pt idx="2">
                  <c:v>3.5719154737559706</c:v>
                </c:pt>
                <c:pt idx="3">
                  <c:v>3.4946603044762612</c:v>
                </c:pt>
                <c:pt idx="4">
                  <c:v>3.5310156782549478</c:v>
                </c:pt>
                <c:pt idx="5">
                  <c:v>3.5310156782549478</c:v>
                </c:pt>
                <c:pt idx="6">
                  <c:v>3.7900477164280906</c:v>
                </c:pt>
                <c:pt idx="7">
                  <c:v>3.7900477164280906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1D-42C9-84B7-014539A4B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scatterChart>
        <c:scatterStyle val="lineMarker"/>
        <c:varyColors val="0"/>
        <c:ser>
          <c:idx val="1"/>
          <c:order val="1"/>
          <c:tx>
            <c:v>Yield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Data!$F$14:$F$21</c:f>
              <c:numCache>
                <c:formatCode>General</c:formatCode>
                <c:ptCount val="8"/>
                <c:pt idx="0">
                  <c:v>0.4</c:v>
                </c:pt>
                <c:pt idx="1">
                  <c:v>0.45</c:v>
                </c:pt>
                <c:pt idx="2">
                  <c:v>0.5</c:v>
                </c:pt>
                <c:pt idx="3">
                  <c:v>0.51</c:v>
                </c:pt>
                <c:pt idx="4">
                  <c:v>0.52</c:v>
                </c:pt>
                <c:pt idx="5">
                  <c:v>0.53</c:v>
                </c:pt>
                <c:pt idx="6">
                  <c:v>0.55000000000000004</c:v>
                </c:pt>
                <c:pt idx="7">
                  <c:v>0.6</c:v>
                </c:pt>
              </c:numCache>
            </c:numRef>
          </c:xVal>
          <c:yVal>
            <c:numRef>
              <c:f>Data!$N$14:$N$21</c:f>
              <c:numCache>
                <c:formatCode>0</c:formatCode>
                <c:ptCount val="8"/>
                <c:pt idx="0">
                  <c:v>44.244537051877977</c:v>
                </c:pt>
                <c:pt idx="1">
                  <c:v>44.901521070736386</c:v>
                </c:pt>
                <c:pt idx="2">
                  <c:v>49.860275275101166</c:v>
                </c:pt>
                <c:pt idx="3">
                  <c:v>46.227065370992769</c:v>
                </c:pt>
                <c:pt idx="4">
                  <c:v>41.734516002604103</c:v>
                </c:pt>
                <c:pt idx="5">
                  <c:v>42.096677651268493</c:v>
                </c:pt>
                <c:pt idx="6">
                  <c:v>33.606225995552862</c:v>
                </c:pt>
                <c:pt idx="7">
                  <c:v>24.172701620064327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1D-42C9-84B7-014539A4B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253120"/>
        <c:axId val="937250208"/>
      </c:scatterChart>
      <c:valAx>
        <c:axId val="933937824"/>
        <c:scaling>
          <c:orientation val="minMax"/>
          <c:max val="0.60000000000000009"/>
          <c:min val="0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Citric</a:t>
                </a:r>
                <a:r>
                  <a:rPr lang="en-US" sz="2400" baseline="0">
                    <a:solidFill>
                      <a:sysClr val="windowText" lastClr="000000"/>
                    </a:solidFill>
                  </a:rPr>
                  <a:t> acid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concentration (M, 1:3 ratio to KOH)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</c:valAx>
      <c:valAx>
        <c:axId val="4215223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adsorption (mmol/g)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  <c:majorUnit val="1"/>
      </c:valAx>
      <c:valAx>
        <c:axId val="93725020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253120"/>
        <c:crosses val="max"/>
        <c:crossBetween val="midCat"/>
        <c:majorUnit val="20"/>
      </c:valAx>
      <c:valAx>
        <c:axId val="937253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725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Data!$Q$24:$Q$30</c:f>
              <c:numCache>
                <c:formatCode>0.00</c:formatCode>
                <c:ptCount val="7"/>
                <c:pt idx="0">
                  <c:v>2</c:v>
                </c:pt>
                <c:pt idx="1">
                  <c:v>1.3</c:v>
                </c:pt>
                <c:pt idx="2">
                  <c:v>1.1000000000000001</c:v>
                </c:pt>
                <c:pt idx="3" formatCode="General">
                  <c:v>1</c:v>
                </c:pt>
                <c:pt idx="4">
                  <c:v>0.90909090909090906</c:v>
                </c:pt>
                <c:pt idx="5">
                  <c:v>0.76923076923076916</c:v>
                </c:pt>
                <c:pt idx="6">
                  <c:v>0.5</c:v>
                </c:pt>
              </c:numCache>
            </c:numRef>
          </c:xVal>
          <c:yVal>
            <c:numRef>
              <c:f>Data!$K$24:$K$30</c:f>
              <c:numCache>
                <c:formatCode>0.0</c:formatCode>
                <c:ptCount val="7"/>
                <c:pt idx="0">
                  <c:v>1.7764144512610798</c:v>
                </c:pt>
                <c:pt idx="1">
                  <c:v>2.592592592592597</c:v>
                </c:pt>
                <c:pt idx="2">
                  <c:v>3.2060895251079353</c:v>
                </c:pt>
                <c:pt idx="3">
                  <c:v>3.5719154737559706</c:v>
                </c:pt>
                <c:pt idx="4">
                  <c:v>3.3333333333333388</c:v>
                </c:pt>
                <c:pt idx="5">
                  <c:v>3.4242217677800557</c:v>
                </c:pt>
                <c:pt idx="6">
                  <c:v>1.5382867530106819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D9-4656-A47A-B15407647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scatterChart>
        <c:scatterStyle val="lineMarker"/>
        <c:varyColors val="0"/>
        <c:ser>
          <c:idx val="1"/>
          <c:order val="1"/>
          <c:tx>
            <c:v>Yield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Data!$Q$24:$Q$30</c:f>
              <c:numCache>
                <c:formatCode>0.00</c:formatCode>
                <c:ptCount val="7"/>
                <c:pt idx="0">
                  <c:v>2</c:v>
                </c:pt>
                <c:pt idx="1">
                  <c:v>1.3</c:v>
                </c:pt>
                <c:pt idx="2">
                  <c:v>1.1000000000000001</c:v>
                </c:pt>
                <c:pt idx="3" formatCode="General">
                  <c:v>1</c:v>
                </c:pt>
                <c:pt idx="4">
                  <c:v>0.90909090909090906</c:v>
                </c:pt>
                <c:pt idx="5">
                  <c:v>0.76923076923076916</c:v>
                </c:pt>
                <c:pt idx="6">
                  <c:v>0.5</c:v>
                </c:pt>
              </c:numCache>
            </c:numRef>
          </c:xVal>
          <c:yVal>
            <c:numRef>
              <c:f>Data!$N$24:$N$30</c:f>
              <c:numCache>
                <c:formatCode>0</c:formatCode>
                <c:ptCount val="7"/>
                <c:pt idx="0">
                  <c:v>17.659395051651618</c:v>
                </c:pt>
                <c:pt idx="1">
                  <c:v>31.468283515938015</c:v>
                </c:pt>
                <c:pt idx="2">
                  <c:v>35.216433112949311</c:v>
                </c:pt>
                <c:pt idx="3">
                  <c:v>49.860275275101166</c:v>
                </c:pt>
                <c:pt idx="4">
                  <c:v>51.240602337117124</c:v>
                </c:pt>
                <c:pt idx="5">
                  <c:v>54.535088371631836</c:v>
                </c:pt>
                <c:pt idx="6">
                  <c:v>39.786986594846056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D9-4656-A47A-B15407647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253120"/>
        <c:axId val="937250208"/>
      </c:scatterChart>
      <c:valAx>
        <c:axId val="933937824"/>
        <c:scaling>
          <c:orientation val="minMax"/>
          <c:max val="2"/>
          <c:min val="0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ysClr val="windowText" lastClr="000000"/>
                    </a:solidFill>
                  </a:rPr>
                  <a:t>Solvent</a:t>
                </a:r>
                <a:r>
                  <a:rPr lang="en-US" sz="1800" baseline="0">
                    <a:solidFill>
                      <a:sysClr val="windowText" lastClr="000000"/>
                    </a:solidFill>
                  </a:rPr>
                  <a:t> pumps ratio (H</a:t>
                </a:r>
                <a:r>
                  <a:rPr lang="en-US" sz="18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1800" baseline="0">
                    <a:solidFill>
                      <a:sysClr val="windowText" lastClr="000000"/>
                    </a:solidFill>
                  </a:rPr>
                  <a:t>O/EtOH) </a:t>
                </a:r>
                <a:endParaRPr lang="en-US" sz="18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  <c:majorUnit val="0.25"/>
      </c:valAx>
      <c:valAx>
        <c:axId val="4215223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18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1800">
                    <a:solidFill>
                      <a:sysClr val="windowText" lastClr="000000"/>
                    </a:solidFill>
                  </a:rPr>
                  <a:t> adsorption (mmol/g)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</c:valAx>
      <c:valAx>
        <c:axId val="9372502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253120"/>
        <c:crosses val="max"/>
        <c:crossBetween val="midCat"/>
        <c:majorUnit val="10"/>
      </c:valAx>
      <c:valAx>
        <c:axId val="93725312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93725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Data!$R$24:$R$30</c:f>
              <c:numCache>
                <c:formatCode>0.00</c:formatCode>
                <c:ptCount val="7"/>
                <c:pt idx="0">
                  <c:v>0.66666666666666663</c:v>
                </c:pt>
                <c:pt idx="1">
                  <c:v>0.56521739130434789</c:v>
                </c:pt>
                <c:pt idx="2">
                  <c:v>0.52380952380952384</c:v>
                </c:pt>
                <c:pt idx="3" formatCode="General">
                  <c:v>0.5</c:v>
                </c:pt>
                <c:pt idx="4">
                  <c:v>0.47619047619047616</c:v>
                </c:pt>
                <c:pt idx="5">
                  <c:v>0.43478260869565222</c:v>
                </c:pt>
                <c:pt idx="6">
                  <c:v>0.33333333333333331</c:v>
                </c:pt>
              </c:numCache>
            </c:numRef>
          </c:xVal>
          <c:yVal>
            <c:numRef>
              <c:f>Data!$K$24:$K$30</c:f>
              <c:numCache>
                <c:formatCode>0.0</c:formatCode>
                <c:ptCount val="7"/>
                <c:pt idx="0">
                  <c:v>1.7764144512610798</c:v>
                </c:pt>
                <c:pt idx="1">
                  <c:v>2.592592592592597</c:v>
                </c:pt>
                <c:pt idx="2">
                  <c:v>3.2060895251079353</c:v>
                </c:pt>
                <c:pt idx="3">
                  <c:v>3.5719154737559706</c:v>
                </c:pt>
                <c:pt idx="4">
                  <c:v>3.3333333333333388</c:v>
                </c:pt>
                <c:pt idx="5">
                  <c:v>3.4242217677800557</c:v>
                </c:pt>
                <c:pt idx="6">
                  <c:v>1.5382867530106819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03-4568-A6DC-C7141B1C4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scatterChart>
        <c:scatterStyle val="lineMarker"/>
        <c:varyColors val="0"/>
        <c:ser>
          <c:idx val="1"/>
          <c:order val="1"/>
          <c:tx>
            <c:v>Yield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Data!$R$24:$R$30</c:f>
              <c:numCache>
                <c:formatCode>0.00</c:formatCode>
                <c:ptCount val="7"/>
                <c:pt idx="0">
                  <c:v>0.66666666666666663</c:v>
                </c:pt>
                <c:pt idx="1">
                  <c:v>0.56521739130434789</c:v>
                </c:pt>
                <c:pt idx="2">
                  <c:v>0.52380952380952384</c:v>
                </c:pt>
                <c:pt idx="3" formatCode="General">
                  <c:v>0.5</c:v>
                </c:pt>
                <c:pt idx="4">
                  <c:v>0.47619047619047616</c:v>
                </c:pt>
                <c:pt idx="5">
                  <c:v>0.43478260869565222</c:v>
                </c:pt>
                <c:pt idx="6">
                  <c:v>0.33333333333333331</c:v>
                </c:pt>
              </c:numCache>
            </c:numRef>
          </c:xVal>
          <c:yVal>
            <c:numRef>
              <c:f>Data!$N$24:$N$30</c:f>
              <c:numCache>
                <c:formatCode>0</c:formatCode>
                <c:ptCount val="7"/>
                <c:pt idx="0">
                  <c:v>17.659395051651618</c:v>
                </c:pt>
                <c:pt idx="1">
                  <c:v>31.468283515938015</c:v>
                </c:pt>
                <c:pt idx="2">
                  <c:v>35.216433112949311</c:v>
                </c:pt>
                <c:pt idx="3">
                  <c:v>49.860275275101166</c:v>
                </c:pt>
                <c:pt idx="4">
                  <c:v>51.240602337117124</c:v>
                </c:pt>
                <c:pt idx="5">
                  <c:v>54.535088371631836</c:v>
                </c:pt>
                <c:pt idx="6">
                  <c:v>39.786986594846056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03-4568-A6DC-C7141B1C4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253120"/>
        <c:axId val="937250208"/>
      </c:scatterChart>
      <c:valAx>
        <c:axId val="933937824"/>
        <c:scaling>
          <c:orientation val="minMax"/>
          <c:max val="0.70000000000000007"/>
          <c:min val="0.3000000000000000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Solvent</a:t>
                </a:r>
                <a:r>
                  <a:rPr lang="en-US" sz="2400" baseline="0">
                    <a:solidFill>
                      <a:sysClr val="windowText" lastClr="000000"/>
                    </a:solidFill>
                  </a:rPr>
                  <a:t> fraction H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 baseline="0">
                    <a:solidFill>
                      <a:sysClr val="windowText" lastClr="000000"/>
                    </a:solidFill>
                  </a:rPr>
                  <a:t>O in EtOH </a:t>
                </a:r>
                <a:endParaRPr lang="en-US" sz="24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  <c:majorUnit val="0.1"/>
      </c:valAx>
      <c:valAx>
        <c:axId val="4215223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adsorption (mmol/g)</a:t>
                </a:r>
              </a:p>
            </c:rich>
          </c:tx>
          <c:layout>
            <c:manualLayout>
              <c:xMode val="edge"/>
              <c:yMode val="edge"/>
              <c:x val="9.5544272948385571E-3"/>
              <c:y val="0.170672821788393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  <c:majorUnit val="1"/>
      </c:valAx>
      <c:valAx>
        <c:axId val="93725020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253120"/>
        <c:crosses val="max"/>
        <c:crossBetween val="midCat"/>
        <c:majorUnit val="20"/>
      </c:valAx>
      <c:valAx>
        <c:axId val="93725312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93725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Data!$C$33:$C$39</c:f>
              <c:numCache>
                <c:formatCode>General</c:formatCode>
                <c:ptCount val="7"/>
                <c:pt idx="0">
                  <c:v>40</c:v>
                </c:pt>
                <c:pt idx="1">
                  <c:v>60</c:v>
                </c:pt>
                <c:pt idx="2">
                  <c:v>72</c:v>
                </c:pt>
                <c:pt idx="3">
                  <c:v>80</c:v>
                </c:pt>
                <c:pt idx="4">
                  <c:v>88</c:v>
                </c:pt>
                <c:pt idx="5">
                  <c:v>100</c:v>
                </c:pt>
                <c:pt idx="6">
                  <c:v>160</c:v>
                </c:pt>
              </c:numCache>
            </c:numRef>
          </c:xVal>
          <c:yVal>
            <c:numRef>
              <c:f>Data!$K$33:$K$39</c:f>
              <c:numCache>
                <c:formatCode>0.0</c:formatCode>
                <c:ptCount val="7"/>
                <c:pt idx="0">
                  <c:v>2.9561463303794642</c:v>
                </c:pt>
                <c:pt idx="1">
                  <c:v>3.1129288798000503</c:v>
                </c:pt>
                <c:pt idx="2">
                  <c:v>3.5582822085889627</c:v>
                </c:pt>
                <c:pt idx="3">
                  <c:v>3.5719154737559706</c:v>
                </c:pt>
                <c:pt idx="4">
                  <c:v>3.5787321063394741</c:v>
                </c:pt>
                <c:pt idx="5">
                  <c:v>3.2424448988866219</c:v>
                </c:pt>
                <c:pt idx="6">
                  <c:v>3.1424676209952334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F9-4E63-BE61-1A02058DA2A8}"/>
            </c:ext>
          </c:extLst>
        </c:ser>
        <c:ser>
          <c:idx val="2"/>
          <c:order val="2"/>
          <c:tx>
            <c:v>160/20 co2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Data!$C$40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Data!$K$40</c:f>
              <c:numCache>
                <c:formatCode>0.0</c:formatCode>
                <c:ptCount val="1"/>
                <c:pt idx="0">
                  <c:v>3.1992728925244314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F9-4E63-BE61-1A02058D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scatterChart>
        <c:scatterStyle val="lineMarker"/>
        <c:varyColors val="0"/>
        <c:ser>
          <c:idx val="1"/>
          <c:order val="1"/>
          <c:tx>
            <c:v>Yield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Data!$C$33:$C$39</c:f>
              <c:numCache>
                <c:formatCode>General</c:formatCode>
                <c:ptCount val="7"/>
                <c:pt idx="0">
                  <c:v>40</c:v>
                </c:pt>
                <c:pt idx="1">
                  <c:v>60</c:v>
                </c:pt>
                <c:pt idx="2">
                  <c:v>72</c:v>
                </c:pt>
                <c:pt idx="3">
                  <c:v>80</c:v>
                </c:pt>
                <c:pt idx="4">
                  <c:v>88</c:v>
                </c:pt>
                <c:pt idx="5">
                  <c:v>100</c:v>
                </c:pt>
                <c:pt idx="6">
                  <c:v>160</c:v>
                </c:pt>
              </c:numCache>
            </c:numRef>
          </c:xVal>
          <c:yVal>
            <c:numRef>
              <c:f>Data!$N$33:$N$39</c:f>
              <c:numCache>
                <c:formatCode>0</c:formatCode>
                <c:ptCount val="7"/>
                <c:pt idx="0">
                  <c:v>28.618480509308537</c:v>
                </c:pt>
                <c:pt idx="1">
                  <c:v>35.662743764852529</c:v>
                </c:pt>
                <c:pt idx="2">
                  <c:v>51.892521911085353</c:v>
                </c:pt>
                <c:pt idx="3">
                  <c:v>49.860275275101166</c:v>
                </c:pt>
                <c:pt idx="4">
                  <c:v>50.207217389879922</c:v>
                </c:pt>
                <c:pt idx="5">
                  <c:v>45.653686078613987</c:v>
                </c:pt>
                <c:pt idx="6">
                  <c:v>44.990428099308261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F9-4E63-BE61-1A02058DA2A8}"/>
            </c:ext>
          </c:extLst>
        </c:ser>
        <c:ser>
          <c:idx val="3"/>
          <c:order val="3"/>
          <c:tx>
            <c:v>160/20 yield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Data!$C$40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Data!$N$40</c:f>
              <c:numCache>
                <c:formatCode>0</c:formatCode>
                <c:ptCount val="1"/>
                <c:pt idx="0">
                  <c:v>59.585553104994773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6F9-4E63-BE61-1A02058D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253120"/>
        <c:axId val="937250208"/>
      </c:scatterChart>
      <c:valAx>
        <c:axId val="933937824"/>
        <c:scaling>
          <c:orientation val="minMax"/>
          <c:max val="160"/>
          <c:min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Total flow</a:t>
                </a:r>
                <a:r>
                  <a:rPr lang="en-US" sz="2400" baseline="0">
                    <a:solidFill>
                      <a:sysClr val="windowText" lastClr="000000"/>
                    </a:solidFill>
                  </a:rPr>
                  <a:t> rate (mL/min)</a:t>
                </a:r>
                <a:endParaRPr lang="en-US" sz="24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  <c:majorUnit val="20"/>
      </c:valAx>
      <c:valAx>
        <c:axId val="4215223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adsorption (mmol/g)</a:t>
                </a:r>
              </a:p>
            </c:rich>
          </c:tx>
          <c:layout>
            <c:manualLayout>
              <c:xMode val="edge"/>
              <c:yMode val="edge"/>
              <c:x val="1.228426366479243E-2"/>
              <c:y val="0.170672821788393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  <c:majorUnit val="1"/>
      </c:valAx>
      <c:valAx>
        <c:axId val="93725020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253120"/>
        <c:crosses val="max"/>
        <c:crossBetween val="midCat"/>
        <c:majorUnit val="20"/>
      </c:valAx>
      <c:valAx>
        <c:axId val="937253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725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ads prod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Data!$C$33:$C$39</c:f>
              <c:numCache>
                <c:formatCode>General</c:formatCode>
                <c:ptCount val="7"/>
                <c:pt idx="0">
                  <c:v>40</c:v>
                </c:pt>
                <c:pt idx="1">
                  <c:v>60</c:v>
                </c:pt>
                <c:pt idx="2">
                  <c:v>72</c:v>
                </c:pt>
                <c:pt idx="3">
                  <c:v>80</c:v>
                </c:pt>
                <c:pt idx="4">
                  <c:v>88</c:v>
                </c:pt>
                <c:pt idx="5">
                  <c:v>100</c:v>
                </c:pt>
                <c:pt idx="6">
                  <c:v>160</c:v>
                </c:pt>
              </c:numCache>
            </c:numRef>
          </c:xVal>
          <c:yVal>
            <c:numRef>
              <c:f>Data!$S$33:$S$39</c:f>
              <c:numCache>
                <c:formatCode>0</c:formatCode>
                <c:ptCount val="7"/>
                <c:pt idx="0">
                  <c:v>103.55090935368148</c:v>
                </c:pt>
                <c:pt idx="1">
                  <c:v>203.82461405728023</c:v>
                </c:pt>
                <c:pt idx="2">
                  <c:v>406.81699680498161</c:v>
                </c:pt>
                <c:pt idx="3">
                  <c:v>435.98069413556021</c:v>
                </c:pt>
                <c:pt idx="4">
                  <c:v>483.8374053743774</c:v>
                </c:pt>
                <c:pt idx="5">
                  <c:v>452.9704583153777</c:v>
                </c:pt>
                <c:pt idx="6">
                  <c:v>692.20119757404541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EE-4725-94B6-EF2280F2E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valAx>
        <c:axId val="933937824"/>
        <c:scaling>
          <c:orientation val="minMax"/>
          <c:max val="160"/>
          <c:min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Total flow</a:t>
                </a:r>
                <a:r>
                  <a:rPr lang="en-US" sz="2400" baseline="0">
                    <a:solidFill>
                      <a:sysClr val="windowText" lastClr="000000"/>
                    </a:solidFill>
                  </a:rPr>
                  <a:t> rate (mL/min)</a:t>
                </a:r>
                <a:endParaRPr lang="en-US" sz="24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  <c:majorUnit val="20"/>
      </c:valAx>
      <c:valAx>
        <c:axId val="421522336"/>
        <c:scaling>
          <c:orientation val="minMax"/>
          <c:max val="7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adsorption production rate (mmol/h)</a:t>
                </a:r>
              </a:p>
            </c:rich>
          </c:tx>
          <c:layout>
            <c:manualLayout>
              <c:xMode val="edge"/>
              <c:yMode val="edge"/>
              <c:x val="9.5544272948385571E-3"/>
              <c:y val="0.122907495293401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Data!$B$43:$B$48</c:f>
              <c:numCache>
                <c:formatCode>General</c:formatCode>
                <c:ptCount val="6"/>
                <c:pt idx="0">
                  <c:v>25</c:v>
                </c:pt>
                <c:pt idx="1">
                  <c:v>40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85</c:v>
                </c:pt>
              </c:numCache>
            </c:numRef>
          </c:xVal>
          <c:yVal>
            <c:numRef>
              <c:f>Data!$K$43:$K$48</c:f>
              <c:numCache>
                <c:formatCode>0.0</c:formatCode>
                <c:ptCount val="6"/>
                <c:pt idx="0">
                  <c:v>1.6864349011588302</c:v>
                </c:pt>
                <c:pt idx="1">
                  <c:v>1.363326516700752</c:v>
                </c:pt>
                <c:pt idx="2">
                  <c:v>1.9943194728470832</c:v>
                </c:pt>
                <c:pt idx="3">
                  <c:v>3.3969552374460403</c:v>
                </c:pt>
                <c:pt idx="4" formatCode="0.00">
                  <c:v>3.5719154737559706</c:v>
                </c:pt>
                <c:pt idx="5" formatCode="0.00">
                  <c:v>3.612815269256993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27-42D5-80B7-DCCF16FBD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scatterChart>
        <c:scatterStyle val="lineMarker"/>
        <c:varyColors val="0"/>
        <c:ser>
          <c:idx val="1"/>
          <c:order val="1"/>
          <c:tx>
            <c:v>Yield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Data!$B$43:$B$48</c:f>
              <c:numCache>
                <c:formatCode>General</c:formatCode>
                <c:ptCount val="6"/>
                <c:pt idx="0">
                  <c:v>25</c:v>
                </c:pt>
                <c:pt idx="1">
                  <c:v>40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85</c:v>
                </c:pt>
              </c:numCache>
            </c:numRef>
          </c:xVal>
          <c:yVal>
            <c:numRef>
              <c:f>Data!$N$43:$N$48</c:f>
              <c:numCache>
                <c:formatCode>0</c:formatCode>
                <c:ptCount val="6"/>
                <c:pt idx="0">
                  <c:v>35.480046738138491</c:v>
                </c:pt>
                <c:pt idx="1">
                  <c:v>34.386578410557426</c:v>
                </c:pt>
                <c:pt idx="2">
                  <c:v>30.896102949459607</c:v>
                </c:pt>
                <c:pt idx="3">
                  <c:v>45.342148690613655</c:v>
                </c:pt>
                <c:pt idx="4">
                  <c:v>49.860275275101166</c:v>
                </c:pt>
                <c:pt idx="5">
                  <c:v>63.182464738128331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27-42D5-80B7-DCCF16FBD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253120"/>
        <c:axId val="937250208"/>
      </c:scatterChart>
      <c:valAx>
        <c:axId val="933937824"/>
        <c:scaling>
          <c:orientation val="minMax"/>
          <c:max val="100"/>
          <c:min val="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Temperature of post-heater (</a:t>
                </a:r>
                <a:r>
                  <a:rPr lang="en-US" sz="2400">
                    <a:solidFill>
                      <a:sysClr val="windowText" lastClr="000000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°C)</a:t>
                </a:r>
                <a:endParaRPr lang="en-US" sz="24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  <c:majorUnit val="20"/>
      </c:valAx>
      <c:valAx>
        <c:axId val="4215223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adsorption (mmol/g)</a:t>
                </a:r>
              </a:p>
            </c:rich>
          </c:tx>
          <c:layout>
            <c:manualLayout>
              <c:xMode val="edge"/>
              <c:yMode val="edge"/>
              <c:x val="1.0919345479815493E-2"/>
              <c:y val="0.186079823837230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  <c:majorUnit val="1"/>
      </c:valAx>
      <c:valAx>
        <c:axId val="93725020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253120"/>
        <c:crosses val="max"/>
        <c:crossBetween val="midCat"/>
        <c:majorUnit val="20"/>
      </c:valAx>
      <c:valAx>
        <c:axId val="937253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725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Data!$Q$51:$Q$56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0.4</c:v>
                </c:pt>
              </c:numCache>
            </c:numRef>
          </c:xVal>
          <c:yVal>
            <c:numRef>
              <c:f>Data!$K$51:$K$56</c:f>
              <c:numCache>
                <c:formatCode>0.0</c:formatCode>
                <c:ptCount val="6"/>
                <c:pt idx="0">
                  <c:v>3.5719154737559706</c:v>
                </c:pt>
                <c:pt idx="1">
                  <c:v>2.9584185412406319</c:v>
                </c:pt>
                <c:pt idx="2">
                  <c:v>3.6650761190638548</c:v>
                </c:pt>
                <c:pt idx="3">
                  <c:v>3.8354919336514488</c:v>
                </c:pt>
                <c:pt idx="4">
                  <c:v>3.7196091797318855</c:v>
                </c:pt>
                <c:pt idx="5">
                  <c:v>3.3628720745285219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F2-488D-A0E7-0187A4F78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scatterChart>
        <c:scatterStyle val="lineMarker"/>
        <c:varyColors val="0"/>
        <c:ser>
          <c:idx val="1"/>
          <c:order val="1"/>
          <c:tx>
            <c:v>Yield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Data!$Q$51:$Q$56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0.4</c:v>
                </c:pt>
              </c:numCache>
            </c:numRef>
          </c:xVal>
          <c:yVal>
            <c:numRef>
              <c:f>Data!$N$51:$N$56</c:f>
              <c:numCache>
                <c:formatCode>0</c:formatCode>
                <c:ptCount val="6"/>
                <c:pt idx="0">
                  <c:v>49.860275275101166</c:v>
                </c:pt>
                <c:pt idx="1">
                  <c:v>37.255880233350624</c:v>
                </c:pt>
                <c:pt idx="2">
                  <c:v>32.29429935411401</c:v>
                </c:pt>
                <c:pt idx="3">
                  <c:v>34.984880659966535</c:v>
                </c:pt>
                <c:pt idx="4">
                  <c:v>28.900449068516291</c:v>
                </c:pt>
                <c:pt idx="5">
                  <c:v>14.591352463493088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F2-488D-A0E7-0187A4F78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253120"/>
        <c:axId val="937250208"/>
      </c:scatterChart>
      <c:valAx>
        <c:axId val="933937824"/>
        <c:scaling>
          <c:orientation val="minMax"/>
          <c:max val="0.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ysClr val="windowText" lastClr="000000"/>
                    </a:solidFill>
                  </a:rPr>
                  <a:t>Mg</a:t>
                </a:r>
                <a:r>
                  <a:rPr lang="en-US" sz="1800" baseline="0">
                    <a:solidFill>
                      <a:sysClr val="windowText" lastClr="000000"/>
                    </a:solidFill>
                  </a:rPr>
                  <a:t> metal</a:t>
                </a:r>
                <a:r>
                  <a:rPr lang="en-US" sz="1800">
                    <a:solidFill>
                      <a:sysClr val="windowText" lastClr="000000"/>
                    </a:solidFill>
                  </a:rPr>
                  <a:t> mole fraction</a:t>
                </a:r>
                <a:r>
                  <a:rPr lang="en-US" sz="1800" baseline="0">
                    <a:solidFill>
                      <a:sysClr val="windowText" lastClr="000000"/>
                    </a:solidFill>
                  </a:rPr>
                  <a:t> in reactants</a:t>
                </a:r>
                <a:endParaRPr lang="en-US" sz="18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  <c:majorUnit val="0.1"/>
      </c:valAx>
      <c:valAx>
        <c:axId val="4215223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18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1800">
                    <a:solidFill>
                      <a:sysClr val="windowText" lastClr="000000"/>
                    </a:solidFill>
                  </a:rPr>
                  <a:t> adsorption (mmol/g)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  <c:majorUnit val="1"/>
      </c:valAx>
      <c:valAx>
        <c:axId val="93725020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253120"/>
        <c:crosses val="max"/>
        <c:crossBetween val="midCat"/>
        <c:majorUnit val="20"/>
      </c:valAx>
      <c:valAx>
        <c:axId val="937253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725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CO2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50800">
                <a:solidFill>
                  <a:schemeClr val="accent1"/>
                </a:solidFill>
              </a:ln>
              <a:effectLst/>
            </c:spPr>
          </c:marker>
          <c:xVal>
            <c:numRef>
              <c:f>Data!$R$51:$R$56</c:f>
              <c:numCache>
                <c:formatCode>0.0000</c:formatCode>
                <c:ptCount val="6"/>
                <c:pt idx="0">
                  <c:v>0</c:v>
                </c:pt>
                <c:pt idx="1">
                  <c:v>6.325331950362236E-3</c:v>
                </c:pt>
                <c:pt idx="2">
                  <c:v>1.256825259141453E-2</c:v>
                </c:pt>
                <c:pt idx="3">
                  <c:v>1.8138478919280044E-2</c:v>
                </c:pt>
                <c:pt idx="4">
                  <c:v>2.0405261732727352E-2</c:v>
                </c:pt>
                <c:pt idx="5">
                  <c:v>3.1789483022273239E-2</c:v>
                </c:pt>
              </c:numCache>
            </c:numRef>
          </c:xVal>
          <c:yVal>
            <c:numRef>
              <c:f>Data!$K$51:$K$56</c:f>
              <c:numCache>
                <c:formatCode>0.0</c:formatCode>
                <c:ptCount val="6"/>
                <c:pt idx="0">
                  <c:v>3.5719154737559706</c:v>
                </c:pt>
                <c:pt idx="1">
                  <c:v>2.9584185412406319</c:v>
                </c:pt>
                <c:pt idx="2">
                  <c:v>3.6650761190638548</c:v>
                </c:pt>
                <c:pt idx="3">
                  <c:v>3.8354919336514488</c:v>
                </c:pt>
                <c:pt idx="4">
                  <c:v>3.7196091797318855</c:v>
                </c:pt>
                <c:pt idx="5">
                  <c:v>3.3628720745285219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EC-404C-BE7E-605E13CDE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937824"/>
        <c:axId val="421522336"/>
      </c:scatterChart>
      <c:scatterChart>
        <c:scatterStyle val="lineMarker"/>
        <c:varyColors val="0"/>
        <c:ser>
          <c:idx val="1"/>
          <c:order val="1"/>
          <c:tx>
            <c:v>Yield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0800">
                <a:solidFill>
                  <a:schemeClr val="accent2"/>
                </a:solidFill>
              </a:ln>
              <a:effectLst/>
            </c:spPr>
          </c:marker>
          <c:xVal>
            <c:numRef>
              <c:f>Data!$R$51:$R$56</c:f>
              <c:numCache>
                <c:formatCode>0.0000</c:formatCode>
                <c:ptCount val="6"/>
                <c:pt idx="0">
                  <c:v>0</c:v>
                </c:pt>
                <c:pt idx="1">
                  <c:v>6.325331950362236E-3</c:v>
                </c:pt>
                <c:pt idx="2">
                  <c:v>1.256825259141453E-2</c:v>
                </c:pt>
                <c:pt idx="3">
                  <c:v>1.8138478919280044E-2</c:v>
                </c:pt>
                <c:pt idx="4">
                  <c:v>2.0405261732727352E-2</c:v>
                </c:pt>
                <c:pt idx="5">
                  <c:v>3.1789483022273239E-2</c:v>
                </c:pt>
              </c:numCache>
            </c:numRef>
          </c:xVal>
          <c:yVal>
            <c:numRef>
              <c:f>Data!$N$51:$N$56</c:f>
              <c:numCache>
                <c:formatCode>0</c:formatCode>
                <c:ptCount val="6"/>
                <c:pt idx="0">
                  <c:v>49.860275275101166</c:v>
                </c:pt>
                <c:pt idx="1">
                  <c:v>37.255880233350624</c:v>
                </c:pt>
                <c:pt idx="2">
                  <c:v>32.29429935411401</c:v>
                </c:pt>
                <c:pt idx="3">
                  <c:v>34.984880659966535</c:v>
                </c:pt>
                <c:pt idx="4">
                  <c:v>28.900449068516291</c:v>
                </c:pt>
                <c:pt idx="5">
                  <c:v>14.591352463493088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EC-404C-BE7E-605E13CDE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253120"/>
        <c:axId val="937250208"/>
      </c:scatterChart>
      <c:valAx>
        <c:axId val="933937824"/>
        <c:scaling>
          <c:orientation val="minMax"/>
          <c:max val="3.5000000000000003E-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Mg</a:t>
                </a:r>
                <a:r>
                  <a:rPr lang="en-US" sz="2400" baseline="0">
                    <a:solidFill>
                      <a:sysClr val="windowText" lastClr="000000"/>
                    </a:solidFill>
                  </a:rPr>
                  <a:t> metal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mole fraction in products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522336"/>
        <c:crosses val="autoZero"/>
        <c:crossBetween val="midCat"/>
        <c:majorUnit val="1.0000000000000002E-2"/>
      </c:valAx>
      <c:valAx>
        <c:axId val="4215223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adsorption (mmol/g)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937824"/>
        <c:crosses val="autoZero"/>
        <c:crossBetween val="midCat"/>
        <c:majorUnit val="1"/>
      </c:valAx>
      <c:valAx>
        <c:axId val="93725020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253120"/>
        <c:crosses val="max"/>
        <c:crossBetween val="midCat"/>
        <c:majorUnit val="20"/>
      </c:valAx>
      <c:valAx>
        <c:axId val="937253120"/>
        <c:scaling>
          <c:orientation val="minMax"/>
        </c:scaling>
        <c:delete val="1"/>
        <c:axPos val="b"/>
        <c:numFmt formatCode="0.0000" sourceLinked="1"/>
        <c:majorTickMark val="out"/>
        <c:minorTickMark val="none"/>
        <c:tickLblPos val="nextTo"/>
        <c:crossAx val="93725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AB6B68-592D-49CA-8ED3-5622435F2A4E}">
  <sheetPr/>
  <sheetViews>
    <sheetView zoomScale="118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2E23C5D-A459-4A00-B799-22508B8D2FCD}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6FE08F7-5D74-4D27-BF63-673BFEE7A141}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F67765-AE55-4827-BFE6-58BDF6CBE91C}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C593B7B-51B0-4A0B-BF2B-41465548DAB4}">
  <sheetPr/>
  <sheetViews>
    <sheetView zoomScale="11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D7944F3-0271-4EB6-B455-F084993C6199}">
  <sheetPr/>
  <sheetViews>
    <sheetView zoomScale="118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828AFF6-60FE-442D-94A3-47021C545EDA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178B55E-ECCE-4C17-B5A2-582C5CBD3EB9}">
  <sheetPr/>
  <sheetViews>
    <sheetView zoomScale="118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2C9745-2350-43CE-A5C1-57656C88C2DE}">
  <sheetPr/>
  <sheetViews>
    <sheetView zoomScale="118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84DF755-C1EA-4612-976A-92FE574B6627}">
  <sheetPr/>
  <sheetViews>
    <sheetView tabSelected="1" zoomScale="118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F60F0B0-0D5D-45BB-B5D4-AA21A9EE0D29}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B8D532-2414-4DB6-93D3-254FF5E7E006}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73D654F-063E-4333-82FD-904736DC79C9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6E31C7-2474-4B95-9516-236BCF40CA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0.79188</cdr:x>
      <cdr:y>0.12248</cdr:y>
    </cdr:from>
    <cdr:to>
      <cdr:x>0.88676</cdr:x>
      <cdr:y>0.19948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F338B6-7922-4A8A-9A69-B48346D6BE6C}"/>
            </a:ext>
          </a:extLst>
        </cdr:cNvPr>
        <cdr:cNvSpPr txBox="1"/>
      </cdr:nvSpPr>
      <cdr:spPr>
        <a:xfrm xmlns:a="http://schemas.openxmlformats.org/drawingml/2006/main">
          <a:off x="7368099" y="744329"/>
          <a:ext cx="882800" cy="467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CO</a:t>
          </a:r>
          <a:r>
            <a:rPr lang="en-GB" sz="2400" baseline="-25000">
              <a:solidFill>
                <a:sysClr val="windowText" lastClr="000000"/>
              </a:solidFill>
            </a:rPr>
            <a:t>2</a:t>
          </a:r>
          <a:endParaRPr lang="en-GB" sz="1100" baseline="-250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0.78088</cdr:x>
      <cdr:y>0.39956</cdr:y>
    </cdr:from>
    <cdr:to>
      <cdr:x>0.88154</cdr:x>
      <cdr:y>0.48964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F0DD42C-DFF4-4335-A42A-94E06B20FB5D}"/>
            </a:ext>
          </a:extLst>
        </cdr:cNvPr>
        <cdr:cNvSpPr txBox="1"/>
      </cdr:nvSpPr>
      <cdr:spPr>
        <a:xfrm xmlns:a="http://schemas.openxmlformats.org/drawingml/2006/main">
          <a:off x="7265764" y="2428165"/>
          <a:ext cx="936563" cy="5474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Yield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EC0AE8-8ACA-4B61-974A-093F25860CC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FF7888-5BEA-4D6B-BB42-5BF72AFCF3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0.63465</cdr:x>
      <cdr:y>0.12637</cdr:y>
    </cdr:from>
    <cdr:to>
      <cdr:x>0.72673</cdr:x>
      <cdr:y>0.20337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F338B6-7922-4A8A-9A69-B48346D6BE6C}"/>
            </a:ext>
          </a:extLst>
        </cdr:cNvPr>
        <cdr:cNvSpPr txBox="1"/>
      </cdr:nvSpPr>
      <cdr:spPr>
        <a:xfrm xmlns:a="http://schemas.openxmlformats.org/drawingml/2006/main">
          <a:off x="5905120" y="767948"/>
          <a:ext cx="856842" cy="4679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CO</a:t>
          </a:r>
          <a:r>
            <a:rPr lang="en-GB" sz="2400" baseline="-25000">
              <a:solidFill>
                <a:sysClr val="windowText" lastClr="000000"/>
              </a:solidFill>
            </a:rPr>
            <a:t>2</a:t>
          </a:r>
          <a:endParaRPr lang="en-GB" sz="1400" baseline="-250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0.62519</cdr:x>
      <cdr:y>0.32702</cdr:y>
    </cdr:from>
    <cdr:to>
      <cdr:x>0.73266</cdr:x>
      <cdr:y>0.41969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F0DD42C-DFF4-4335-A42A-94E06B20FB5D}"/>
            </a:ext>
          </a:extLst>
        </cdr:cNvPr>
        <cdr:cNvSpPr txBox="1"/>
      </cdr:nvSpPr>
      <cdr:spPr>
        <a:xfrm xmlns:a="http://schemas.openxmlformats.org/drawingml/2006/main">
          <a:off x="5817114" y="1987330"/>
          <a:ext cx="999951" cy="563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Yield</a:t>
          </a:r>
        </a:p>
      </cdr:txBody>
    </cdr:sp>
  </cdr:relSizeAnchor>
  <cdr:relSizeAnchor xmlns:cdr="http://schemas.openxmlformats.org/drawingml/2006/chartDrawing">
    <cdr:from>
      <cdr:x>0.72458</cdr:x>
      <cdr:y>0.05499</cdr:y>
    </cdr:from>
    <cdr:to>
      <cdr:x>0.76311</cdr:x>
      <cdr:y>0.11788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86C9356-F11F-4F9E-89D8-445464A304E2}"/>
            </a:ext>
          </a:extLst>
        </cdr:cNvPr>
        <cdr:cNvSpPr txBox="1"/>
      </cdr:nvSpPr>
      <cdr:spPr>
        <a:xfrm xmlns:a="http://schemas.openxmlformats.org/drawingml/2006/main">
          <a:off x="6741917" y="334167"/>
          <a:ext cx="358537" cy="382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200" b="1" baseline="30000"/>
            <a:t>+</a:t>
          </a:r>
          <a:endParaRPr lang="en-GB" sz="2400" b="1" baseline="30000"/>
        </a:p>
      </cdr:txBody>
    </cdr:sp>
  </cdr:relSizeAnchor>
  <cdr:relSizeAnchor xmlns:cdr="http://schemas.openxmlformats.org/drawingml/2006/chartDrawing">
    <cdr:from>
      <cdr:x>0.72542</cdr:x>
      <cdr:y>0.26873</cdr:y>
    </cdr:from>
    <cdr:to>
      <cdr:x>0.76819</cdr:x>
      <cdr:y>0.3329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D9AF2C47-DE92-41F1-88C3-D440B0E33FA6}"/>
            </a:ext>
          </a:extLst>
        </cdr:cNvPr>
        <cdr:cNvSpPr txBox="1"/>
      </cdr:nvSpPr>
      <cdr:spPr>
        <a:xfrm xmlns:a="http://schemas.openxmlformats.org/drawingml/2006/main">
          <a:off x="6749753" y="1633073"/>
          <a:ext cx="397933" cy="3900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3200" b="1" baseline="30000"/>
            <a:t>+</a:t>
          </a:r>
          <a:endParaRPr lang="en-GB" sz="2400" b="1" baseline="300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393110-8F7D-4908-BCAF-2F73085958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0.79623</cdr:x>
      <cdr:y>0.07456</cdr:y>
    </cdr:from>
    <cdr:to>
      <cdr:x>0.87999</cdr:x>
      <cdr:y>0.13926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F338B6-7922-4A8A-9A69-B48346D6BE6C}"/>
            </a:ext>
          </a:extLst>
        </cdr:cNvPr>
        <cdr:cNvSpPr txBox="1"/>
      </cdr:nvSpPr>
      <cdr:spPr>
        <a:xfrm xmlns:a="http://schemas.openxmlformats.org/drawingml/2006/main">
          <a:off x="7408619" y="453093"/>
          <a:ext cx="779352" cy="393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800">
              <a:solidFill>
                <a:sysClr val="windowText" lastClr="000000"/>
              </a:solidFill>
            </a:rPr>
            <a:t>CO</a:t>
          </a:r>
          <a:r>
            <a:rPr lang="en-GB" sz="1800" baseline="-25000">
              <a:solidFill>
                <a:sysClr val="windowText" lastClr="000000"/>
              </a:solidFill>
            </a:rPr>
            <a:t>2</a:t>
          </a:r>
          <a:endParaRPr lang="en-GB" sz="1100" baseline="-250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0.7927</cdr:x>
      <cdr:y>0.64179</cdr:y>
    </cdr:from>
    <cdr:to>
      <cdr:x>0.87646</cdr:x>
      <cdr:y>0.70648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F0DD42C-DFF4-4335-A42A-94E06B20FB5D}"/>
            </a:ext>
          </a:extLst>
        </cdr:cNvPr>
        <cdr:cNvSpPr txBox="1"/>
      </cdr:nvSpPr>
      <cdr:spPr>
        <a:xfrm xmlns:a="http://schemas.openxmlformats.org/drawingml/2006/main">
          <a:off x="7375737" y="3900225"/>
          <a:ext cx="779352" cy="393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800">
              <a:solidFill>
                <a:sysClr val="windowText" lastClr="000000"/>
              </a:solidFill>
            </a:rPr>
            <a:t>Yield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910917-75C9-40A1-8968-435EDB7CFCA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0.76734</cdr:x>
      <cdr:y>0.07715</cdr:y>
    </cdr:from>
    <cdr:to>
      <cdr:x>0.8563</cdr:x>
      <cdr:y>0.15414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F338B6-7922-4A8A-9A69-B48346D6BE6C}"/>
            </a:ext>
          </a:extLst>
        </cdr:cNvPr>
        <cdr:cNvSpPr txBox="1"/>
      </cdr:nvSpPr>
      <cdr:spPr>
        <a:xfrm xmlns:a="http://schemas.openxmlformats.org/drawingml/2006/main">
          <a:off x="7139814" y="468852"/>
          <a:ext cx="827717" cy="467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CO</a:t>
          </a:r>
          <a:r>
            <a:rPr lang="en-GB" sz="2400" baseline="-25000">
              <a:solidFill>
                <a:sysClr val="windowText" lastClr="000000"/>
              </a:solidFill>
            </a:rPr>
            <a:t>2</a:t>
          </a:r>
          <a:endParaRPr lang="en-GB" sz="1400" baseline="-250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0.75465</cdr:x>
      <cdr:y>0.62366</cdr:y>
    </cdr:from>
    <cdr:to>
      <cdr:x>0.87646</cdr:x>
      <cdr:y>0.70596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F0DD42C-DFF4-4335-A42A-94E06B20FB5D}"/>
            </a:ext>
          </a:extLst>
        </cdr:cNvPr>
        <cdr:cNvSpPr txBox="1"/>
      </cdr:nvSpPr>
      <cdr:spPr>
        <a:xfrm xmlns:a="http://schemas.openxmlformats.org/drawingml/2006/main">
          <a:off x="7021736" y="3790020"/>
          <a:ext cx="1133362" cy="500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Yield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57D8CD-DFBB-4328-AE15-2DA63F8C61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CBC199-9E24-46D6-8DA2-CCC4A7F95B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0.7838</cdr:x>
      <cdr:y>0.48945</cdr:y>
    </cdr:from>
    <cdr:to>
      <cdr:x>0.87056</cdr:x>
      <cdr:y>0.56477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F338B6-7922-4A8A-9A69-B48346D6BE6C}"/>
            </a:ext>
          </a:extLst>
        </cdr:cNvPr>
        <cdr:cNvSpPr txBox="1"/>
      </cdr:nvSpPr>
      <cdr:spPr>
        <a:xfrm xmlns:a="http://schemas.openxmlformats.org/drawingml/2006/main">
          <a:off x="7292975" y="2974418"/>
          <a:ext cx="807210" cy="457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CO</a:t>
          </a:r>
          <a:r>
            <a:rPr lang="en-GB" sz="2400" baseline="-25000">
              <a:solidFill>
                <a:sysClr val="windowText" lastClr="000000"/>
              </a:solidFill>
            </a:rPr>
            <a:t>2</a:t>
          </a:r>
          <a:endParaRPr lang="en-GB" sz="1400" baseline="-250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0.77196</cdr:x>
      <cdr:y>0.66152</cdr:y>
    </cdr:from>
    <cdr:to>
      <cdr:x>0.87817</cdr:x>
      <cdr:y>0.74093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F0DD42C-DFF4-4335-A42A-94E06B20FB5D}"/>
            </a:ext>
          </a:extLst>
        </cdr:cNvPr>
        <cdr:cNvSpPr txBox="1"/>
      </cdr:nvSpPr>
      <cdr:spPr>
        <a:xfrm xmlns:a="http://schemas.openxmlformats.org/drawingml/2006/main">
          <a:off x="7182789" y="4020140"/>
          <a:ext cx="988244" cy="482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Yield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405FDE-194D-4911-AC27-CC9DDF4580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0.77327</cdr:x>
      <cdr:y>0.20797</cdr:y>
    </cdr:from>
    <cdr:to>
      <cdr:x>0.86984</cdr:x>
      <cdr:y>0.29016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F338B6-7922-4A8A-9A69-B48346D6BE6C}"/>
            </a:ext>
          </a:extLst>
        </cdr:cNvPr>
        <cdr:cNvSpPr txBox="1"/>
      </cdr:nvSpPr>
      <cdr:spPr>
        <a:xfrm xmlns:a="http://schemas.openxmlformats.org/drawingml/2006/main">
          <a:off x="7194917" y="1263872"/>
          <a:ext cx="898578" cy="499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CO</a:t>
          </a:r>
          <a:r>
            <a:rPr lang="en-GB" sz="2400" baseline="-25000">
              <a:solidFill>
                <a:sysClr val="windowText" lastClr="000000"/>
              </a:solidFill>
            </a:rPr>
            <a:t>2</a:t>
          </a:r>
          <a:endParaRPr lang="en-GB" sz="1400" baseline="-250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0.76481</cdr:x>
      <cdr:y>0.4475</cdr:y>
    </cdr:from>
    <cdr:to>
      <cdr:x>0.87138</cdr:x>
      <cdr:y>0.54016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F0DD42C-DFF4-4335-A42A-94E06B20FB5D}"/>
            </a:ext>
          </a:extLst>
        </cdr:cNvPr>
        <cdr:cNvSpPr txBox="1"/>
      </cdr:nvSpPr>
      <cdr:spPr>
        <a:xfrm xmlns:a="http://schemas.openxmlformats.org/drawingml/2006/main">
          <a:off x="7116198" y="2719481"/>
          <a:ext cx="991666" cy="563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Yield</a:t>
          </a:r>
        </a:p>
      </cdr:txBody>
    </cdr:sp>
  </cdr:relSizeAnchor>
  <cdr:relSizeAnchor xmlns:cdr="http://schemas.openxmlformats.org/drawingml/2006/chartDrawing">
    <cdr:from>
      <cdr:x>0.66497</cdr:x>
      <cdr:y>0.0524</cdr:y>
    </cdr:from>
    <cdr:to>
      <cdr:x>0.86756</cdr:x>
      <cdr:y>0.14378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4735EF5-2D00-4883-A4EE-EB5C984C39B6}"/>
            </a:ext>
          </a:extLst>
        </cdr:cNvPr>
        <cdr:cNvSpPr txBox="1"/>
      </cdr:nvSpPr>
      <cdr:spPr>
        <a:xfrm xmlns:a="http://schemas.openxmlformats.org/drawingml/2006/main">
          <a:off x="6187315" y="318420"/>
          <a:ext cx="1884972" cy="5553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CO</a:t>
          </a:r>
          <a:r>
            <a:rPr lang="en-GB" sz="2400" baseline="-25000">
              <a:solidFill>
                <a:sysClr val="windowText" lastClr="000000"/>
              </a:solidFill>
            </a:rPr>
            <a:t>2</a:t>
          </a:r>
          <a:r>
            <a:rPr lang="en-GB" sz="2400" baseline="0">
              <a:solidFill>
                <a:sysClr val="windowText" lastClr="000000"/>
              </a:solidFill>
            </a:rPr>
            <a:t> by MOF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677FEE-819D-42E3-AEC3-7B7AE0E5149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D31E57-1233-43DD-AE80-EB0B9AF217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0.78934</cdr:x>
      <cdr:y>0.07101</cdr:y>
    </cdr:from>
    <cdr:to>
      <cdr:x>0.87603</cdr:x>
      <cdr:y>0.15155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F338B6-7922-4A8A-9A69-B48346D6BE6C}"/>
            </a:ext>
          </a:extLst>
        </cdr:cNvPr>
        <cdr:cNvSpPr txBox="1"/>
      </cdr:nvSpPr>
      <cdr:spPr>
        <a:xfrm xmlns:a="http://schemas.openxmlformats.org/drawingml/2006/main">
          <a:off x="7344484" y="431532"/>
          <a:ext cx="806574" cy="4894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400">
              <a:solidFill>
                <a:sysClr val="windowText" lastClr="000000"/>
              </a:solidFill>
            </a:rPr>
            <a:t>CO</a:t>
          </a:r>
          <a:r>
            <a:rPr lang="en-GB" sz="2400" baseline="-25000">
              <a:solidFill>
                <a:sysClr val="windowText" lastClr="000000"/>
              </a:solidFill>
            </a:rPr>
            <a:t>2</a:t>
          </a:r>
          <a:endParaRPr lang="en-GB" sz="1400" baseline="-250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0.78088</cdr:x>
      <cdr:y>0.53844</cdr:y>
    </cdr:from>
    <cdr:to>
      <cdr:x>0.88787</cdr:x>
      <cdr:y>0.61917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F0DD42C-DFF4-4335-A42A-94E06B20FB5D}"/>
            </a:ext>
          </a:extLst>
        </cdr:cNvPr>
        <cdr:cNvSpPr txBox="1"/>
      </cdr:nvSpPr>
      <cdr:spPr>
        <a:xfrm xmlns:a="http://schemas.openxmlformats.org/drawingml/2006/main">
          <a:off x="7265765" y="3272148"/>
          <a:ext cx="995483" cy="4906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Yield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31489A-50EA-45F4-8EEC-33B2EE6216E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0.81403</cdr:x>
      <cdr:y>0.39901</cdr:y>
    </cdr:from>
    <cdr:to>
      <cdr:x>0.89779</cdr:x>
      <cdr:y>0.46371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F338B6-7922-4A8A-9A69-B48346D6BE6C}"/>
            </a:ext>
          </a:extLst>
        </cdr:cNvPr>
        <cdr:cNvSpPr txBox="1"/>
      </cdr:nvSpPr>
      <cdr:spPr>
        <a:xfrm xmlns:a="http://schemas.openxmlformats.org/drawingml/2006/main">
          <a:off x="7573202" y="2424486"/>
          <a:ext cx="779245" cy="3931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800">
              <a:solidFill>
                <a:sysClr val="windowText" lastClr="000000"/>
              </a:solidFill>
            </a:rPr>
            <a:t>CO</a:t>
          </a:r>
          <a:r>
            <a:rPr lang="en-GB" sz="1800" baseline="-25000">
              <a:solidFill>
                <a:sysClr val="windowText" lastClr="000000"/>
              </a:solidFill>
            </a:rPr>
            <a:t>2</a:t>
          </a:r>
          <a:endParaRPr lang="en-GB" sz="1100" baseline="-250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0.8198</cdr:x>
      <cdr:y>0.59421</cdr:y>
    </cdr:from>
    <cdr:to>
      <cdr:x>0.90356</cdr:x>
      <cdr:y>0.6589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F0DD42C-DFF4-4335-A42A-94E06B20FB5D}"/>
            </a:ext>
          </a:extLst>
        </cdr:cNvPr>
        <cdr:cNvSpPr txBox="1"/>
      </cdr:nvSpPr>
      <cdr:spPr>
        <a:xfrm xmlns:a="http://schemas.openxmlformats.org/drawingml/2006/main">
          <a:off x="7626880" y="3610622"/>
          <a:ext cx="779244" cy="393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800">
              <a:solidFill>
                <a:sysClr val="windowText" lastClr="000000"/>
              </a:solidFill>
            </a:rPr>
            <a:t>Yield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082B9B-70B5-40C5-B566-1AA28791192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0.75224</cdr:x>
      <cdr:y>0.36471</cdr:y>
    </cdr:from>
    <cdr:to>
      <cdr:x>0.83926</cdr:x>
      <cdr:y>0.4456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F338B6-7922-4A8A-9A69-B48346D6BE6C}"/>
            </a:ext>
          </a:extLst>
        </cdr:cNvPr>
        <cdr:cNvSpPr txBox="1"/>
      </cdr:nvSpPr>
      <cdr:spPr>
        <a:xfrm xmlns:a="http://schemas.openxmlformats.org/drawingml/2006/main">
          <a:off x="6999282" y="2216366"/>
          <a:ext cx="809643" cy="4915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CO</a:t>
          </a:r>
          <a:r>
            <a:rPr lang="en-GB" sz="2400" baseline="-25000">
              <a:solidFill>
                <a:sysClr val="windowText" lastClr="000000"/>
              </a:solidFill>
            </a:rPr>
            <a:t>2</a:t>
          </a:r>
          <a:endParaRPr lang="en-GB" sz="1400" baseline="-250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0.74363</cdr:x>
      <cdr:y>0.58997</cdr:y>
    </cdr:from>
    <cdr:to>
      <cdr:x>0.84941</cdr:x>
      <cdr:y>0.68005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F0DD42C-DFF4-4335-A42A-94E06B20FB5D}"/>
            </a:ext>
          </a:extLst>
        </cdr:cNvPr>
        <cdr:cNvSpPr txBox="1"/>
      </cdr:nvSpPr>
      <cdr:spPr>
        <a:xfrm xmlns:a="http://schemas.openxmlformats.org/drawingml/2006/main">
          <a:off x="6919187" y="3585330"/>
          <a:ext cx="984202" cy="547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400">
              <a:solidFill>
                <a:sysClr val="windowText" lastClr="000000"/>
              </a:solidFill>
            </a:rPr>
            <a:t>Yield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E57C83-D942-4133-8E3A-CCDBD1DD849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4681-BA41-43F0-BA2E-022E3B7FA845}">
  <dimension ref="A1:S95"/>
  <sheetViews>
    <sheetView zoomScaleNormal="100" workbookViewId="0">
      <pane ySplit="1" topLeftCell="A4" activePane="bottomLeft" state="frozen"/>
      <selection pane="bottomLeft" activeCell="A2" sqref="A2"/>
    </sheetView>
  </sheetViews>
  <sheetFormatPr defaultRowHeight="15" x14ac:dyDescent="0.25"/>
  <cols>
    <col min="1" max="1" width="17.42578125" bestFit="1" customWidth="1"/>
    <col min="2" max="2" width="8" bestFit="1" customWidth="1"/>
    <col min="3" max="3" width="12.85546875" bestFit="1" customWidth="1"/>
    <col min="4" max="4" width="10.140625" customWidth="1"/>
    <col min="5" max="5" width="11.42578125" bestFit="1" customWidth="1"/>
    <col min="7" max="7" width="10.85546875" hidden="1" customWidth="1"/>
    <col min="8" max="8" width="8.5703125" customWidth="1"/>
    <col min="9" max="9" width="56.42578125" bestFit="1" customWidth="1"/>
    <col min="10" max="10" width="20" bestFit="1" customWidth="1"/>
    <col min="11" max="11" width="9.42578125" bestFit="1" customWidth="1"/>
    <col min="12" max="12" width="8.42578125" bestFit="1" customWidth="1"/>
    <col min="13" max="13" width="10" customWidth="1"/>
    <col min="15" max="15" width="11.85546875" style="3" customWidth="1"/>
    <col min="16" max="16" width="16.7109375" style="3" customWidth="1"/>
    <col min="17" max="17" width="21.85546875" customWidth="1"/>
    <col min="18" max="18" width="21.140625" bestFit="1" customWidth="1"/>
    <col min="19" max="19" width="15.28515625" bestFit="1" customWidth="1"/>
  </cols>
  <sheetData>
    <row r="1" spans="1:18" s="2" customFormat="1" ht="3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3" spans="1:18" x14ac:dyDescent="0.25">
      <c r="A3" s="13" t="s">
        <v>16</v>
      </c>
    </row>
    <row r="4" spans="1:18" x14ac:dyDescent="0.25">
      <c r="A4" s="3" t="s">
        <v>17</v>
      </c>
      <c r="B4" s="3">
        <v>80</v>
      </c>
      <c r="C4" s="3">
        <v>80</v>
      </c>
      <c r="D4" s="5" t="s">
        <v>18</v>
      </c>
      <c r="E4" s="3">
        <v>0.5</v>
      </c>
      <c r="F4" s="3">
        <v>0.5</v>
      </c>
      <c r="G4" s="3">
        <v>1.5</v>
      </c>
      <c r="H4" s="14">
        <v>1.3005</v>
      </c>
      <c r="I4" s="3" t="s">
        <v>19</v>
      </c>
      <c r="J4" s="1">
        <v>6.27</v>
      </c>
      <c r="K4" s="4">
        <v>1.4246762099522858</v>
      </c>
      <c r="L4" s="3">
        <v>0.34720000000000001</v>
      </c>
      <c r="M4" s="1">
        <v>14.3</v>
      </c>
      <c r="N4" s="9">
        <v>37.225738939495315</v>
      </c>
      <c r="O4" s="3">
        <v>0.19400000000000001</v>
      </c>
      <c r="P4" s="3">
        <v>173</v>
      </c>
    </row>
    <row r="5" spans="1:18" x14ac:dyDescent="0.25">
      <c r="A5" s="3" t="s">
        <v>20</v>
      </c>
      <c r="B5" s="3">
        <v>80</v>
      </c>
      <c r="C5" s="3">
        <v>80</v>
      </c>
      <c r="D5" s="5" t="s">
        <v>18</v>
      </c>
      <c r="E5" s="3">
        <v>0.5</v>
      </c>
      <c r="F5" s="3">
        <v>0.5</v>
      </c>
      <c r="G5" s="3">
        <v>1.625</v>
      </c>
      <c r="H5" s="14">
        <v>1.4088750000000001</v>
      </c>
      <c r="I5" s="3" t="s">
        <v>19</v>
      </c>
      <c r="J5" s="1">
        <v>8.4570000000000007</v>
      </c>
      <c r="K5" s="4">
        <v>1.9216087252897103</v>
      </c>
      <c r="L5" s="3">
        <v>0.40079999999999999</v>
      </c>
      <c r="M5" s="1">
        <v>17.62</v>
      </c>
      <c r="N5" s="9">
        <v>41.759604709083085</v>
      </c>
    </row>
    <row r="6" spans="1:18" x14ac:dyDescent="0.25">
      <c r="A6" s="3" t="s">
        <v>21</v>
      </c>
      <c r="B6" s="3">
        <v>80</v>
      </c>
      <c r="C6" s="3">
        <v>80</v>
      </c>
      <c r="D6" s="5" t="s">
        <v>18</v>
      </c>
      <c r="E6" s="3">
        <v>0.5</v>
      </c>
      <c r="F6" s="3">
        <v>0.5</v>
      </c>
      <c r="G6" s="3"/>
      <c r="H6" s="7">
        <v>1.5</v>
      </c>
      <c r="I6" s="3"/>
      <c r="J6" s="1">
        <v>15.72</v>
      </c>
      <c r="K6" s="4">
        <f t="shared" ref="K6" si="0">J6*0.227221086116792</f>
        <v>3.5719154737559706</v>
      </c>
      <c r="L6" s="3">
        <v>0.60199999999999998</v>
      </c>
      <c r="M6" s="1">
        <v>18.37</v>
      </c>
      <c r="N6" s="9">
        <f t="shared" ref="N6" si="1">100*(L6/((1.02*(1+(M6/100)))))</f>
        <v>49.860275275101166</v>
      </c>
      <c r="O6" s="3">
        <v>0.222</v>
      </c>
      <c r="P6" s="3">
        <v>394</v>
      </c>
      <c r="R6" s="3"/>
    </row>
    <row r="7" spans="1:18" x14ac:dyDescent="0.25">
      <c r="A7" s="3" t="s">
        <v>22</v>
      </c>
      <c r="B7" s="3">
        <v>80</v>
      </c>
      <c r="C7" s="3">
        <v>80</v>
      </c>
      <c r="D7" s="5" t="s">
        <v>18</v>
      </c>
      <c r="E7" s="3">
        <v>0.5</v>
      </c>
      <c r="F7" s="3">
        <v>0.5</v>
      </c>
      <c r="G7" s="3"/>
      <c r="H7" s="7">
        <v>1.59</v>
      </c>
      <c r="I7" s="3" t="s">
        <v>23</v>
      </c>
      <c r="J7" s="1">
        <v>15</v>
      </c>
      <c r="K7" s="4">
        <f>J7*0.227221086116792</f>
        <v>3.4083162917518801</v>
      </c>
      <c r="L7" s="3">
        <v>0.51300000000000001</v>
      </c>
      <c r="M7" s="1">
        <v>16.920000000000002</v>
      </c>
      <c r="N7" s="9">
        <f>100*(L7/((1.02*(1+(M7/100)))))</f>
        <v>43.015837878086572</v>
      </c>
      <c r="R7" s="3"/>
    </row>
    <row r="8" spans="1:18" x14ac:dyDescent="0.25">
      <c r="A8" s="3" t="s">
        <v>24</v>
      </c>
      <c r="B8" s="3">
        <v>80</v>
      </c>
      <c r="C8" s="3">
        <v>80</v>
      </c>
      <c r="D8" s="5" t="s">
        <v>18</v>
      </c>
      <c r="E8" s="3">
        <v>0.5</v>
      </c>
      <c r="F8" s="3">
        <v>0.5</v>
      </c>
      <c r="G8" s="3"/>
      <c r="H8" s="7">
        <v>1.67</v>
      </c>
      <c r="I8" s="3"/>
      <c r="J8" s="1">
        <v>14.74</v>
      </c>
      <c r="K8" s="4">
        <f t="shared" ref="K8" si="2">J8*0.227221086116792</f>
        <v>3.3492388093615144</v>
      </c>
      <c r="L8" s="3">
        <v>0.47199999999999998</v>
      </c>
      <c r="M8" s="1">
        <v>18.27</v>
      </c>
      <c r="N8" s="9">
        <f>100*(L8/((1.02*(1+(M8/100)))))</f>
        <v>39.126160314468216</v>
      </c>
      <c r="R8" s="3"/>
    </row>
    <row r="9" spans="1:18" x14ac:dyDescent="0.25">
      <c r="A9" s="3" t="s">
        <v>25</v>
      </c>
      <c r="B9" s="3">
        <v>80</v>
      </c>
      <c r="C9" s="3">
        <v>80</v>
      </c>
      <c r="D9" s="5" t="s">
        <v>18</v>
      </c>
      <c r="E9" s="3">
        <v>0.5</v>
      </c>
      <c r="F9" s="3">
        <v>0.5</v>
      </c>
      <c r="G9" s="3"/>
      <c r="H9" s="7">
        <v>1.73</v>
      </c>
      <c r="I9" s="3" t="s">
        <v>26</v>
      </c>
      <c r="J9" s="1">
        <v>15.6</v>
      </c>
      <c r="K9" s="4">
        <f t="shared" ref="K9" si="3">J9*0.227221086116792</f>
        <v>3.5446489434219552</v>
      </c>
      <c r="L9" s="3">
        <v>0.442</v>
      </c>
      <c r="M9" s="1">
        <v>18.89</v>
      </c>
      <c r="N9" s="9">
        <f>100*(L9/((1.02*(1+(M9/100)))))</f>
        <v>36.448257492920618</v>
      </c>
      <c r="O9" s="3">
        <v>0.17399999999999999</v>
      </c>
      <c r="P9" s="3">
        <v>472</v>
      </c>
      <c r="R9" s="3"/>
    </row>
    <row r="10" spans="1:18" x14ac:dyDescent="0.25">
      <c r="A10" s="3" t="s">
        <v>27</v>
      </c>
      <c r="B10" s="3">
        <v>80</v>
      </c>
      <c r="C10" s="3">
        <v>80</v>
      </c>
      <c r="D10" s="5" t="s">
        <v>18</v>
      </c>
      <c r="E10" s="3">
        <v>0.5</v>
      </c>
      <c r="F10" s="3">
        <v>0.5</v>
      </c>
      <c r="G10" s="3"/>
      <c r="H10" s="7">
        <v>1.8</v>
      </c>
      <c r="I10" s="3"/>
      <c r="J10" s="1">
        <v>14.5</v>
      </c>
      <c r="K10" s="4">
        <f>J10*0.227221086116792</f>
        <v>3.2947057486934841</v>
      </c>
      <c r="L10" s="3">
        <v>0.34599999999999997</v>
      </c>
      <c r="M10" s="1">
        <v>18.510000000000002</v>
      </c>
      <c r="N10" s="9">
        <f>100*(L10/((1.02*(1+(M10/100)))))</f>
        <v>28.623380834909266</v>
      </c>
      <c r="R10" s="3"/>
    </row>
    <row r="11" spans="1:18" x14ac:dyDescent="0.25">
      <c r="A11" s="3" t="s">
        <v>28</v>
      </c>
      <c r="B11" s="3">
        <v>80</v>
      </c>
      <c r="C11" s="3">
        <v>80</v>
      </c>
      <c r="D11" s="5" t="s">
        <v>18</v>
      </c>
      <c r="E11" s="3">
        <v>0.5</v>
      </c>
      <c r="F11" s="3">
        <v>0.5</v>
      </c>
      <c r="G11" s="3">
        <v>2.25</v>
      </c>
      <c r="H11" s="14">
        <v>1.95075</v>
      </c>
      <c r="I11" s="3" t="s">
        <v>29</v>
      </c>
      <c r="J11" s="1">
        <v>4.415</v>
      </c>
      <c r="K11" s="4">
        <v>1.0031810952056368</v>
      </c>
      <c r="L11" s="3">
        <v>8.2400000000000001E-2</v>
      </c>
      <c r="M11" s="1">
        <v>13.25</v>
      </c>
      <c r="N11" s="9">
        <v>8.9165909189282786</v>
      </c>
      <c r="O11" s="3">
        <v>0.20100000000000001</v>
      </c>
      <c r="P11" s="3">
        <v>51</v>
      </c>
    </row>
    <row r="13" spans="1:18" x14ac:dyDescent="0.25">
      <c r="A13" s="13" t="s">
        <v>30</v>
      </c>
      <c r="B13" s="3"/>
      <c r="C13" s="3"/>
      <c r="D13" s="5"/>
      <c r="E13" s="3"/>
      <c r="F13" s="3"/>
      <c r="G13" s="3"/>
      <c r="H13" s="3"/>
      <c r="I13" s="3"/>
      <c r="J13" s="1"/>
      <c r="K13" s="4"/>
      <c r="L13" s="3"/>
      <c r="M13" s="1"/>
      <c r="N13" s="9"/>
      <c r="Q13" s="3"/>
      <c r="R13" s="3"/>
    </row>
    <row r="14" spans="1:18" x14ac:dyDescent="0.25">
      <c r="A14" s="3" t="s">
        <v>31</v>
      </c>
      <c r="B14" s="3">
        <v>80</v>
      </c>
      <c r="C14" s="3">
        <v>80</v>
      </c>
      <c r="D14" s="5" t="s">
        <v>18</v>
      </c>
      <c r="E14" s="3">
        <v>0.5</v>
      </c>
      <c r="F14" s="7">
        <v>0.4</v>
      </c>
      <c r="G14" s="3"/>
      <c r="H14" s="7">
        <v>1.2</v>
      </c>
      <c r="I14" s="3"/>
      <c r="J14" s="1">
        <v>9.1980000000000004</v>
      </c>
      <c r="K14" s="4">
        <f>J14*0.227221086116792</f>
        <v>2.0899795501022531</v>
      </c>
      <c r="L14" s="3">
        <v>0.53</v>
      </c>
      <c r="M14" s="1">
        <v>17.440000000000001</v>
      </c>
      <c r="N14" s="9">
        <f>100*(L14/((1.02*(1+(M14/100)))))</f>
        <v>44.244537051877977</v>
      </c>
      <c r="O14" s="3">
        <v>0.33100000000000002</v>
      </c>
      <c r="P14" s="3">
        <v>150</v>
      </c>
      <c r="Q14" s="3"/>
      <c r="R14" s="3"/>
    </row>
    <row r="15" spans="1:18" x14ac:dyDescent="0.25">
      <c r="A15" s="3" t="s">
        <v>32</v>
      </c>
      <c r="B15" s="3">
        <v>80</v>
      </c>
      <c r="C15" s="3">
        <v>80</v>
      </c>
      <c r="D15" s="5" t="s">
        <v>18</v>
      </c>
      <c r="E15" s="3">
        <v>0.5</v>
      </c>
      <c r="F15" s="7">
        <v>0.45</v>
      </c>
      <c r="G15" s="3"/>
      <c r="H15" s="7">
        <v>1.35</v>
      </c>
      <c r="I15" s="3" t="s">
        <v>33</v>
      </c>
      <c r="J15" s="1">
        <v>14.89</v>
      </c>
      <c r="K15" s="4">
        <f t="shared" ref="K15:K21" si="4">J15*0.227221086116792</f>
        <v>3.3833219722790333</v>
      </c>
      <c r="L15" s="3">
        <v>0.53100000000000003</v>
      </c>
      <c r="M15" s="1">
        <v>15.94</v>
      </c>
      <c r="N15" s="9">
        <f t="shared" ref="N15:N21" si="5">100*(L15/((1.02*(1+(M15/100)))))</f>
        <v>44.901521070736386</v>
      </c>
      <c r="Q15" s="3"/>
      <c r="R15" s="3"/>
    </row>
    <row r="16" spans="1:18" x14ac:dyDescent="0.25">
      <c r="A16" s="3" t="s">
        <v>21</v>
      </c>
      <c r="B16" s="3">
        <v>80</v>
      </c>
      <c r="C16" s="3">
        <v>80</v>
      </c>
      <c r="D16" s="5" t="s">
        <v>18</v>
      </c>
      <c r="E16" s="3">
        <v>0.5</v>
      </c>
      <c r="F16" s="7">
        <v>0.5</v>
      </c>
      <c r="G16" s="7"/>
      <c r="H16" s="7">
        <v>1.5</v>
      </c>
      <c r="I16" s="3"/>
      <c r="J16" s="1">
        <v>15.72</v>
      </c>
      <c r="K16" s="4">
        <f t="shared" si="4"/>
        <v>3.5719154737559706</v>
      </c>
      <c r="L16" s="3">
        <v>0.60199999999999998</v>
      </c>
      <c r="M16" s="1">
        <v>18.37</v>
      </c>
      <c r="N16" s="9">
        <f t="shared" si="5"/>
        <v>49.860275275101166</v>
      </c>
      <c r="O16" s="3">
        <v>0.222</v>
      </c>
      <c r="P16" s="3">
        <v>394</v>
      </c>
      <c r="Q16" s="3"/>
      <c r="R16" s="3"/>
    </row>
    <row r="17" spans="1:19" x14ac:dyDescent="0.25">
      <c r="A17" s="3" t="s">
        <v>34</v>
      </c>
      <c r="B17" s="3">
        <v>80</v>
      </c>
      <c r="C17" s="3">
        <v>80</v>
      </c>
      <c r="D17" s="5" t="s">
        <v>18</v>
      </c>
      <c r="E17" s="3">
        <v>0.5</v>
      </c>
      <c r="F17" s="7">
        <v>0.51</v>
      </c>
      <c r="G17" s="5"/>
      <c r="H17" s="7">
        <v>1.53</v>
      </c>
      <c r="I17" s="3" t="s">
        <v>35</v>
      </c>
      <c r="J17" s="1">
        <v>15.38</v>
      </c>
      <c r="K17" s="4">
        <f t="shared" si="4"/>
        <v>3.4946603044762612</v>
      </c>
      <c r="L17" s="3">
        <v>0.56200000000000006</v>
      </c>
      <c r="M17" s="1">
        <v>19.190000000000001</v>
      </c>
      <c r="N17" s="9">
        <f t="shared" si="5"/>
        <v>46.227065370992769</v>
      </c>
      <c r="Q17" s="3"/>
      <c r="R17" s="3"/>
    </row>
    <row r="18" spans="1:19" x14ac:dyDescent="0.25">
      <c r="A18" s="3" t="s">
        <v>36</v>
      </c>
      <c r="B18" s="3">
        <v>80</v>
      </c>
      <c r="C18" s="3">
        <v>80</v>
      </c>
      <c r="D18" s="5" t="s">
        <v>18</v>
      </c>
      <c r="E18" s="3">
        <v>0.5</v>
      </c>
      <c r="F18" s="7">
        <v>0.52</v>
      </c>
      <c r="G18" s="3"/>
      <c r="H18" s="7">
        <v>1.56</v>
      </c>
      <c r="I18" s="3"/>
      <c r="J18" s="1">
        <v>15.54</v>
      </c>
      <c r="K18" s="4">
        <f t="shared" si="4"/>
        <v>3.5310156782549478</v>
      </c>
      <c r="L18" s="3">
        <v>0.50900000000000001</v>
      </c>
      <c r="M18" s="1">
        <v>19.57</v>
      </c>
      <c r="N18" s="9">
        <f t="shared" si="5"/>
        <v>41.734516002604103</v>
      </c>
      <c r="Q18" s="3"/>
      <c r="R18" s="3"/>
    </row>
    <row r="19" spans="1:19" x14ac:dyDescent="0.25">
      <c r="A19" s="3" t="s">
        <v>37</v>
      </c>
      <c r="B19" s="3">
        <v>80</v>
      </c>
      <c r="C19" s="3">
        <v>80</v>
      </c>
      <c r="D19" s="5" t="s">
        <v>18</v>
      </c>
      <c r="E19" s="3">
        <v>0.5</v>
      </c>
      <c r="F19" s="7">
        <v>0.53</v>
      </c>
      <c r="G19" s="3"/>
      <c r="H19" s="7">
        <v>1.59</v>
      </c>
      <c r="I19" s="3"/>
      <c r="J19" s="1">
        <v>15.54</v>
      </c>
      <c r="K19" s="4">
        <f t="shared" si="4"/>
        <v>3.5310156782549478</v>
      </c>
      <c r="L19" s="3">
        <v>0.51200000000000001</v>
      </c>
      <c r="M19" s="1">
        <v>19.239999999999998</v>
      </c>
      <c r="N19" s="9">
        <f t="shared" si="5"/>
        <v>42.096677651268493</v>
      </c>
      <c r="Q19" s="3"/>
      <c r="R19" s="3"/>
    </row>
    <row r="20" spans="1:19" x14ac:dyDescent="0.25">
      <c r="A20" s="3" t="s">
        <v>38</v>
      </c>
      <c r="B20" s="3">
        <v>80</v>
      </c>
      <c r="C20" s="3">
        <v>80</v>
      </c>
      <c r="D20" s="5" t="s">
        <v>18</v>
      </c>
      <c r="E20" s="3">
        <v>0.5</v>
      </c>
      <c r="F20" s="7">
        <v>0.55000000000000004</v>
      </c>
      <c r="G20" s="3"/>
      <c r="H20" s="7">
        <v>1.65</v>
      </c>
      <c r="I20" s="3" t="s">
        <v>39</v>
      </c>
      <c r="J20" s="1">
        <v>16.68</v>
      </c>
      <c r="K20" s="4">
        <f t="shared" si="4"/>
        <v>3.7900477164280906</v>
      </c>
      <c r="L20" s="3">
        <v>0.39900000000000002</v>
      </c>
      <c r="M20" s="1">
        <v>16.399999999999999</v>
      </c>
      <c r="N20" s="9">
        <f t="shared" si="5"/>
        <v>33.606225995552862</v>
      </c>
      <c r="Q20" s="3"/>
      <c r="R20" s="3"/>
    </row>
    <row r="21" spans="1:19" x14ac:dyDescent="0.25">
      <c r="A21" s="3" t="s">
        <v>40</v>
      </c>
      <c r="B21" s="3">
        <v>80</v>
      </c>
      <c r="C21" s="3">
        <v>80</v>
      </c>
      <c r="D21" s="5" t="s">
        <v>18</v>
      </c>
      <c r="E21" s="3">
        <v>0.5</v>
      </c>
      <c r="F21" s="7">
        <v>0.6</v>
      </c>
      <c r="G21" s="3"/>
      <c r="H21" s="7">
        <v>1.8</v>
      </c>
      <c r="I21" s="3" t="s">
        <v>41</v>
      </c>
      <c r="J21" s="1">
        <v>16.68</v>
      </c>
      <c r="K21" s="4">
        <f t="shared" si="4"/>
        <v>3.7900477164280906</v>
      </c>
      <c r="L21" s="3">
        <v>0.29399999999999998</v>
      </c>
      <c r="M21" s="1">
        <v>19.239999999999998</v>
      </c>
      <c r="N21" s="9">
        <f t="shared" si="5"/>
        <v>24.172701620064327</v>
      </c>
      <c r="O21" s="3">
        <v>0.20100000000000001</v>
      </c>
      <c r="P21" s="3">
        <v>453</v>
      </c>
      <c r="Q21" s="3"/>
      <c r="R21" s="3"/>
    </row>
    <row r="22" spans="1:19" x14ac:dyDescent="0.25">
      <c r="A22" s="3"/>
      <c r="B22" s="3"/>
      <c r="C22" s="3"/>
      <c r="D22" s="5"/>
      <c r="E22" s="3"/>
      <c r="F22" s="3"/>
      <c r="G22" s="3"/>
      <c r="H22" s="3"/>
      <c r="I22" s="3"/>
      <c r="J22" s="1"/>
      <c r="K22" s="4"/>
      <c r="L22" s="3"/>
      <c r="M22" s="1"/>
      <c r="N22" s="9"/>
      <c r="Q22" s="3"/>
      <c r="R22" s="3"/>
    </row>
    <row r="23" spans="1:19" x14ac:dyDescent="0.25">
      <c r="A23" s="13" t="s">
        <v>42</v>
      </c>
      <c r="B23" s="3"/>
      <c r="C23" s="3"/>
      <c r="D23" s="5"/>
      <c r="E23" s="3"/>
      <c r="F23" s="3"/>
      <c r="G23" s="3"/>
      <c r="H23" s="3"/>
      <c r="I23" s="3"/>
      <c r="J23" s="1"/>
      <c r="K23" s="4"/>
      <c r="L23" s="3"/>
      <c r="M23" s="1"/>
      <c r="N23" s="9"/>
      <c r="Q23" s="13" t="s">
        <v>43</v>
      </c>
      <c r="R23" s="13" t="s">
        <v>44</v>
      </c>
    </row>
    <row r="24" spans="1:19" x14ac:dyDescent="0.25">
      <c r="A24" s="3" t="s">
        <v>45</v>
      </c>
      <c r="B24" s="3">
        <v>80</v>
      </c>
      <c r="C24" s="3">
        <v>80</v>
      </c>
      <c r="D24" s="10" t="s">
        <v>46</v>
      </c>
      <c r="E24" s="3">
        <v>0.5</v>
      </c>
      <c r="F24" s="3">
        <v>0.5</v>
      </c>
      <c r="G24" s="3"/>
      <c r="H24" s="3">
        <v>1.5</v>
      </c>
      <c r="I24" s="3"/>
      <c r="J24" s="1">
        <v>7.8179999999999996</v>
      </c>
      <c r="K24" s="4">
        <f>J24*0.227221086116792</f>
        <v>1.7764144512610798</v>
      </c>
      <c r="L24" s="3">
        <v>0.20899999999999999</v>
      </c>
      <c r="M24" s="1">
        <v>16.03</v>
      </c>
      <c r="N24" s="9">
        <f>100*(L24/((1.02*(1+(M24/100)))))</f>
        <v>17.659395051651618</v>
      </c>
      <c r="O24" s="3">
        <v>0.29199999999999998</v>
      </c>
      <c r="P24" s="3">
        <v>99</v>
      </c>
      <c r="Q24" s="8">
        <f>2/1</f>
        <v>2</v>
      </c>
      <c r="R24" s="8">
        <f>2/3</f>
        <v>0.66666666666666663</v>
      </c>
    </row>
    <row r="25" spans="1:19" x14ac:dyDescent="0.25">
      <c r="A25" s="3" t="s">
        <v>47</v>
      </c>
      <c r="B25" s="3">
        <v>80</v>
      </c>
      <c r="C25" s="3">
        <v>80</v>
      </c>
      <c r="D25" s="10" t="s">
        <v>48</v>
      </c>
      <c r="E25" s="3">
        <v>0.5</v>
      </c>
      <c r="F25" s="3">
        <v>0.5</v>
      </c>
      <c r="G25" s="3"/>
      <c r="H25" s="3">
        <v>1.5</v>
      </c>
      <c r="I25" s="3"/>
      <c r="J25" s="1">
        <v>11.41</v>
      </c>
      <c r="K25" s="4">
        <f t="shared" ref="K25:K30" si="6">J25*0.227221086116792</f>
        <v>2.592592592592597</v>
      </c>
      <c r="L25" s="3">
        <v>0.35499999999999998</v>
      </c>
      <c r="M25" s="1">
        <v>10.6</v>
      </c>
      <c r="N25" s="9">
        <f t="shared" ref="N25:N30" si="7">100*(L25/((1.02*(1+(M25/100)))))</f>
        <v>31.468283515938015</v>
      </c>
      <c r="Q25" s="8">
        <f>1.3/1</f>
        <v>1.3</v>
      </c>
      <c r="R25" s="8">
        <f>1.3/2.3</f>
        <v>0.56521739130434789</v>
      </c>
    </row>
    <row r="26" spans="1:19" x14ac:dyDescent="0.25">
      <c r="A26" s="3" t="s">
        <v>49</v>
      </c>
      <c r="B26" s="3">
        <v>80</v>
      </c>
      <c r="C26" s="3">
        <v>80</v>
      </c>
      <c r="D26" s="7" t="s">
        <v>50</v>
      </c>
      <c r="E26" s="3">
        <v>0.5</v>
      </c>
      <c r="F26" s="3">
        <v>0.5</v>
      </c>
      <c r="G26" s="3"/>
      <c r="H26" s="3">
        <v>1.5</v>
      </c>
      <c r="I26" s="3"/>
      <c r="J26" s="1">
        <v>14.11</v>
      </c>
      <c r="K26" s="4">
        <f t="shared" si="6"/>
        <v>3.2060895251079353</v>
      </c>
      <c r="L26" s="3">
        <f>0.169*5/2</f>
        <v>0.42250000000000004</v>
      </c>
      <c r="M26" s="1">
        <v>17.62</v>
      </c>
      <c r="N26" s="9">
        <f t="shared" si="7"/>
        <v>35.216433112949311</v>
      </c>
      <c r="Q26" s="8">
        <f>1.1/1</f>
        <v>1.1000000000000001</v>
      </c>
      <c r="R26" s="8">
        <f>1.1/2.1</f>
        <v>0.52380952380952384</v>
      </c>
    </row>
    <row r="27" spans="1:19" x14ac:dyDescent="0.25">
      <c r="A27" s="3" t="s">
        <v>21</v>
      </c>
      <c r="B27" s="3">
        <v>80</v>
      </c>
      <c r="C27" s="3">
        <v>80</v>
      </c>
      <c r="D27" s="10" t="s">
        <v>18</v>
      </c>
      <c r="E27" s="3">
        <v>0.5</v>
      </c>
      <c r="F27" s="3">
        <v>0.5</v>
      </c>
      <c r="G27" s="3"/>
      <c r="H27" s="3">
        <v>1.5</v>
      </c>
      <c r="I27" s="3"/>
      <c r="J27" s="1">
        <v>15.72</v>
      </c>
      <c r="K27" s="4">
        <f t="shared" si="6"/>
        <v>3.5719154737559706</v>
      </c>
      <c r="L27" s="3">
        <v>0.60199999999999998</v>
      </c>
      <c r="M27" s="1">
        <v>18.37</v>
      </c>
      <c r="N27" s="9">
        <f t="shared" si="7"/>
        <v>49.860275275101166</v>
      </c>
      <c r="O27" s="3">
        <v>0.222</v>
      </c>
      <c r="P27" s="3">
        <v>394</v>
      </c>
      <c r="Q27" s="3">
        <v>1</v>
      </c>
      <c r="R27" s="3">
        <v>0.5</v>
      </c>
    </row>
    <row r="28" spans="1:19" x14ac:dyDescent="0.25">
      <c r="A28" s="3" t="s">
        <v>51</v>
      </c>
      <c r="B28" s="3">
        <v>80</v>
      </c>
      <c r="C28" s="3">
        <v>80</v>
      </c>
      <c r="D28" s="10" t="s">
        <v>52</v>
      </c>
      <c r="E28" s="3">
        <v>0.5</v>
      </c>
      <c r="F28" s="3">
        <v>0.5</v>
      </c>
      <c r="G28" s="3"/>
      <c r="H28" s="3">
        <v>1.5</v>
      </c>
      <c r="I28" s="3"/>
      <c r="J28" s="1">
        <v>14.67</v>
      </c>
      <c r="K28" s="4">
        <f>J28*0.227221086116792</f>
        <v>3.3333333333333388</v>
      </c>
      <c r="L28" s="3">
        <v>0.60099999999999998</v>
      </c>
      <c r="M28" s="1">
        <v>14.99</v>
      </c>
      <c r="N28" s="9">
        <f>100*(L28/((1.02*(1+(M28/100)))))</f>
        <v>51.240602337117124</v>
      </c>
      <c r="Q28" s="8">
        <f>1/1.1</f>
        <v>0.90909090909090906</v>
      </c>
      <c r="R28" s="8">
        <f>1/2.1</f>
        <v>0.47619047619047616</v>
      </c>
    </row>
    <row r="29" spans="1:19" x14ac:dyDescent="0.25">
      <c r="A29" s="3" t="s">
        <v>53</v>
      </c>
      <c r="B29" s="3">
        <v>80</v>
      </c>
      <c r="C29" s="3">
        <v>80</v>
      </c>
      <c r="D29" s="10" t="s">
        <v>54</v>
      </c>
      <c r="E29" s="3">
        <v>0.5</v>
      </c>
      <c r="F29" s="3">
        <v>0.5</v>
      </c>
      <c r="G29" s="3"/>
      <c r="H29" s="3">
        <v>1.5</v>
      </c>
      <c r="I29" s="3"/>
      <c r="J29" s="1">
        <v>15.07</v>
      </c>
      <c r="K29" s="4">
        <f>J29*0.227221086116792</f>
        <v>3.4242217677800557</v>
      </c>
      <c r="L29" s="3">
        <v>0.66</v>
      </c>
      <c r="M29" s="1">
        <v>18.649999999999999</v>
      </c>
      <c r="N29" s="9">
        <f>100*(L29/((1.02*(1+(M29/100)))))</f>
        <v>54.535088371631836</v>
      </c>
      <c r="Q29" s="8">
        <f>1/1.3</f>
        <v>0.76923076923076916</v>
      </c>
      <c r="R29" s="8">
        <f>1/2.3</f>
        <v>0.43478260869565222</v>
      </c>
    </row>
    <row r="30" spans="1:19" x14ac:dyDescent="0.25">
      <c r="A30" s="3" t="s">
        <v>55</v>
      </c>
      <c r="B30" s="3">
        <v>80</v>
      </c>
      <c r="C30" s="3">
        <v>80</v>
      </c>
      <c r="D30" s="10" t="s">
        <v>56</v>
      </c>
      <c r="E30" s="3">
        <v>0.5</v>
      </c>
      <c r="F30" s="3">
        <v>0.5</v>
      </c>
      <c r="G30" s="3"/>
      <c r="H30" s="3">
        <v>1.5</v>
      </c>
      <c r="I30" s="3"/>
      <c r="J30" s="1">
        <v>6.77</v>
      </c>
      <c r="K30" s="4">
        <f t="shared" si="6"/>
        <v>1.5382867530106819</v>
      </c>
      <c r="L30" s="3">
        <v>0.46800000000000003</v>
      </c>
      <c r="M30" s="1">
        <v>15.32</v>
      </c>
      <c r="N30" s="9">
        <f t="shared" si="7"/>
        <v>39.786986594846056</v>
      </c>
      <c r="O30" s="3">
        <v>0.30399999999999999</v>
      </c>
      <c r="P30" s="3">
        <v>107</v>
      </c>
      <c r="Q30" s="8">
        <f>1/2</f>
        <v>0.5</v>
      </c>
      <c r="R30" s="8">
        <f>1/3</f>
        <v>0.33333333333333331</v>
      </c>
    </row>
    <row r="31" spans="1:19" ht="15" customHeight="1" x14ac:dyDescent="0.25">
      <c r="R31" s="25" t="s">
        <v>57</v>
      </c>
      <c r="S31" s="26" t="s">
        <v>58</v>
      </c>
    </row>
    <row r="32" spans="1:19" x14ac:dyDescent="0.25">
      <c r="A32" s="13" t="s">
        <v>59</v>
      </c>
      <c r="Q32" s="11" t="s">
        <v>60</v>
      </c>
      <c r="R32" s="25"/>
      <c r="S32" s="26"/>
    </row>
    <row r="33" spans="1:19" x14ac:dyDescent="0.25">
      <c r="A33" s="3" t="s">
        <v>61</v>
      </c>
      <c r="B33" s="3">
        <v>80</v>
      </c>
      <c r="C33" s="7">
        <v>40</v>
      </c>
      <c r="D33" s="5" t="s">
        <v>18</v>
      </c>
      <c r="E33" s="3">
        <v>0.5</v>
      </c>
      <c r="F33" s="3">
        <v>0.5</v>
      </c>
      <c r="G33" s="3"/>
      <c r="H33" s="3">
        <v>1.5</v>
      </c>
      <c r="I33" s="3"/>
      <c r="J33" s="1">
        <v>13.01</v>
      </c>
      <c r="K33" s="4">
        <f t="shared" ref="K33:K40" si="8">J33*0.227221086116792</f>
        <v>2.9561463303794642</v>
      </c>
      <c r="L33" s="3">
        <v>0.34200000000000003</v>
      </c>
      <c r="M33" s="1">
        <v>17.16</v>
      </c>
      <c r="N33" s="9">
        <f t="shared" ref="N33:N40" si="9">100*(L33/((1.02*(1+(M33/100)))))</f>
        <v>28.618480509308537</v>
      </c>
      <c r="O33" s="3">
        <v>0.316</v>
      </c>
      <c r="P33" s="3">
        <v>183</v>
      </c>
      <c r="Q33">
        <f>Q36*(80/40)</f>
        <v>8.3333333333333332E-3</v>
      </c>
      <c r="R33" s="9">
        <f>(L33/(1+(M33/100)))/Q33</f>
        <v>35.029020143393652</v>
      </c>
      <c r="S33" s="9">
        <f t="shared" ref="S33:S39" si="10">K33*R33</f>
        <v>103.55090935368148</v>
      </c>
    </row>
    <row r="34" spans="1:19" x14ac:dyDescent="0.25">
      <c r="A34" s="3" t="s">
        <v>62</v>
      </c>
      <c r="B34" s="3">
        <v>80</v>
      </c>
      <c r="C34" s="7">
        <v>60</v>
      </c>
      <c r="D34" s="5" t="s">
        <v>18</v>
      </c>
      <c r="E34" s="3">
        <v>0.5</v>
      </c>
      <c r="F34" s="3">
        <v>0.5</v>
      </c>
      <c r="G34" s="3"/>
      <c r="H34" s="3">
        <v>1.5</v>
      </c>
      <c r="I34" s="3"/>
      <c r="J34" s="1">
        <v>13.7</v>
      </c>
      <c r="K34" s="4">
        <f t="shared" si="8"/>
        <v>3.1129288798000503</v>
      </c>
      <c r="L34" s="3">
        <v>0.42799999999999999</v>
      </c>
      <c r="M34" s="1">
        <v>17.66</v>
      </c>
      <c r="N34" s="9">
        <f t="shared" si="9"/>
        <v>35.662743764852529</v>
      </c>
      <c r="Q34">
        <f>Q36*(80/60)</f>
        <v>5.5555555555555549E-3</v>
      </c>
      <c r="R34" s="9">
        <f t="shared" ref="R34:R39" si="11">(L34/(1+(M34/100)))/Q34</f>
        <v>65.476797552269261</v>
      </c>
      <c r="S34" s="9">
        <f t="shared" si="10"/>
        <v>203.82461405728023</v>
      </c>
    </row>
    <row r="35" spans="1:19" x14ac:dyDescent="0.25">
      <c r="A35" s="3" t="s">
        <v>63</v>
      </c>
      <c r="B35" s="3">
        <v>80</v>
      </c>
      <c r="C35" s="7">
        <v>72</v>
      </c>
      <c r="D35" s="5" t="s">
        <v>18</v>
      </c>
      <c r="E35" s="3">
        <v>0.5</v>
      </c>
      <c r="F35" s="3">
        <v>0.5</v>
      </c>
      <c r="G35" s="3"/>
      <c r="H35" s="3">
        <v>1.5</v>
      </c>
      <c r="I35" s="3"/>
      <c r="J35" s="1">
        <v>15.66</v>
      </c>
      <c r="K35" s="4">
        <f>J35*0.227221086116792</f>
        <v>3.5582822085889627</v>
      </c>
      <c r="L35" s="3">
        <v>0.63400000000000001</v>
      </c>
      <c r="M35" s="1">
        <v>19.78</v>
      </c>
      <c r="N35" s="9">
        <f>100*(L35/((1.02*(1+(M35/100)))))</f>
        <v>51.892521911085353</v>
      </c>
      <c r="Q35">
        <f>Q36*(80/72)</f>
        <v>4.6296296296296294E-3</v>
      </c>
      <c r="R35" s="9">
        <f t="shared" si="11"/>
        <v>114.32960427450327</v>
      </c>
      <c r="S35" s="9">
        <f t="shared" si="10"/>
        <v>406.81699680498161</v>
      </c>
    </row>
    <row r="36" spans="1:19" x14ac:dyDescent="0.25">
      <c r="A36" s="3" t="s">
        <v>21</v>
      </c>
      <c r="B36" s="3">
        <v>80</v>
      </c>
      <c r="C36" s="7">
        <v>80</v>
      </c>
      <c r="D36" s="5" t="s">
        <v>18</v>
      </c>
      <c r="E36" s="3">
        <v>0.5</v>
      </c>
      <c r="F36" s="3">
        <v>0.5</v>
      </c>
      <c r="G36" s="3"/>
      <c r="H36" s="3">
        <v>1.5</v>
      </c>
      <c r="I36" s="3"/>
      <c r="J36" s="1">
        <v>15.72</v>
      </c>
      <c r="K36" s="4">
        <f t="shared" ref="K36" si="12">J36*0.227221086116792</f>
        <v>3.5719154737559706</v>
      </c>
      <c r="L36" s="3">
        <v>0.60199999999999998</v>
      </c>
      <c r="M36" s="1">
        <v>18.37</v>
      </c>
      <c r="N36" s="9">
        <f t="shared" ref="N36" si="13">100*(L36/((1.02*(1+(M36/100)))))</f>
        <v>49.860275275101166</v>
      </c>
      <c r="O36" s="3">
        <v>0.222</v>
      </c>
      <c r="P36" s="3">
        <v>394</v>
      </c>
      <c r="Q36">
        <v>4.1666666666666666E-3</v>
      </c>
      <c r="R36" s="9">
        <f t="shared" si="11"/>
        <v>122.05795387344766</v>
      </c>
      <c r="S36" s="9">
        <f t="shared" si="10"/>
        <v>435.98069413556021</v>
      </c>
    </row>
    <row r="37" spans="1:19" x14ac:dyDescent="0.25">
      <c r="A37" s="3" t="s">
        <v>64</v>
      </c>
      <c r="B37" s="3">
        <v>80</v>
      </c>
      <c r="C37" s="7">
        <v>88</v>
      </c>
      <c r="D37" s="5" t="s">
        <v>18</v>
      </c>
      <c r="E37" s="3">
        <v>0.5</v>
      </c>
      <c r="F37" s="3">
        <v>0.5</v>
      </c>
      <c r="G37" s="3"/>
      <c r="H37" s="3">
        <v>1.5</v>
      </c>
      <c r="I37" s="3"/>
      <c r="J37" s="1">
        <v>15.75</v>
      </c>
      <c r="K37" s="4">
        <f>J37*0.227221086116792</f>
        <v>3.5787321063394741</v>
      </c>
      <c r="L37" s="3">
        <v>0.61299999999999999</v>
      </c>
      <c r="M37" s="1">
        <v>19.7</v>
      </c>
      <c r="N37" s="9">
        <f>100*(L37/((1.02*(1+(M37/100)))))</f>
        <v>50.207217389879922</v>
      </c>
      <c r="Q37">
        <f>Q36*(80/88)</f>
        <v>3.7878787878787876E-3</v>
      </c>
      <c r="R37" s="9">
        <f t="shared" si="11"/>
        <v>135.19799498746866</v>
      </c>
      <c r="S37" s="9">
        <f t="shared" si="10"/>
        <v>483.8374053743774</v>
      </c>
    </row>
    <row r="38" spans="1:19" x14ac:dyDescent="0.25">
      <c r="A38" s="3" t="s">
        <v>65</v>
      </c>
      <c r="B38" s="3">
        <v>80</v>
      </c>
      <c r="C38" s="7">
        <v>100</v>
      </c>
      <c r="D38" s="5" t="s">
        <v>18</v>
      </c>
      <c r="E38" s="3">
        <v>0.5</v>
      </c>
      <c r="F38" s="3">
        <v>0.5</v>
      </c>
      <c r="G38" s="3"/>
      <c r="H38" s="3">
        <v>1.5</v>
      </c>
      <c r="I38" s="3"/>
      <c r="J38" s="1">
        <v>14.27</v>
      </c>
      <c r="K38" s="4">
        <f t="shared" si="8"/>
        <v>3.2424448988866219</v>
      </c>
      <c r="L38" s="3">
        <v>0.55000000000000004</v>
      </c>
      <c r="M38" s="1">
        <v>18.11</v>
      </c>
      <c r="N38" s="9">
        <f t="shared" si="9"/>
        <v>45.653686078613987</v>
      </c>
      <c r="Q38">
        <f>Q36*(80/100)</f>
        <v>3.3333333333333335E-3</v>
      </c>
      <c r="R38" s="9">
        <f t="shared" si="11"/>
        <v>139.7002794005588</v>
      </c>
      <c r="S38" s="9">
        <f t="shared" si="10"/>
        <v>452.9704583153777</v>
      </c>
    </row>
    <row r="39" spans="1:19" x14ac:dyDescent="0.25">
      <c r="A39" s="3" t="s">
        <v>66</v>
      </c>
      <c r="B39" s="3">
        <v>80</v>
      </c>
      <c r="C39" s="7">
        <v>160</v>
      </c>
      <c r="D39" s="5" t="s">
        <v>18</v>
      </c>
      <c r="E39" s="3">
        <v>0.5</v>
      </c>
      <c r="F39" s="3">
        <v>0.5</v>
      </c>
      <c r="G39" s="3"/>
      <c r="H39" s="3">
        <v>1.5</v>
      </c>
      <c r="I39" s="3"/>
      <c r="J39" s="1">
        <v>13.83</v>
      </c>
      <c r="K39" s="4">
        <f t="shared" si="8"/>
        <v>3.1424676209952334</v>
      </c>
      <c r="L39" s="3">
        <v>0.54100000000000004</v>
      </c>
      <c r="M39" s="1">
        <v>17.89</v>
      </c>
      <c r="N39" s="9">
        <f t="shared" si="9"/>
        <v>44.990428099308261</v>
      </c>
      <c r="O39" s="3">
        <v>0.35</v>
      </c>
      <c r="P39" s="3">
        <v>225</v>
      </c>
      <c r="Q39">
        <f>Q36*(80/160)</f>
        <v>2.0833333333333333E-3</v>
      </c>
      <c r="R39" s="9">
        <f t="shared" si="11"/>
        <v>220.27313597421323</v>
      </c>
      <c r="S39" s="9">
        <f t="shared" si="10"/>
        <v>692.20119757404541</v>
      </c>
    </row>
    <row r="40" spans="1:19" x14ac:dyDescent="0.25">
      <c r="A40" s="3" t="s">
        <v>67</v>
      </c>
      <c r="B40" s="3">
        <v>80</v>
      </c>
      <c r="C40" s="7">
        <v>160</v>
      </c>
      <c r="D40" s="5" t="s">
        <v>18</v>
      </c>
      <c r="E40" s="3">
        <v>0.5</v>
      </c>
      <c r="F40" s="3">
        <v>0.5</v>
      </c>
      <c r="G40" s="3"/>
      <c r="H40" s="3">
        <v>1.5</v>
      </c>
      <c r="I40" s="3" t="s">
        <v>68</v>
      </c>
      <c r="J40" s="1">
        <v>14.08</v>
      </c>
      <c r="K40" s="4">
        <f t="shared" si="8"/>
        <v>3.1992728925244314</v>
      </c>
      <c r="L40" s="3">
        <v>0.71</v>
      </c>
      <c r="M40" s="1">
        <v>16.82</v>
      </c>
      <c r="N40" s="9">
        <f t="shared" si="9"/>
        <v>59.585553104994773</v>
      </c>
      <c r="O40" s="3">
        <v>0.27</v>
      </c>
      <c r="P40" s="3">
        <v>256</v>
      </c>
      <c r="R40" s="9"/>
      <c r="S40" s="9"/>
    </row>
    <row r="42" spans="1:19" x14ac:dyDescent="0.25">
      <c r="A42" s="13" t="s">
        <v>69</v>
      </c>
    </row>
    <row r="43" spans="1:19" x14ac:dyDescent="0.25">
      <c r="A43" s="3" t="s">
        <v>70</v>
      </c>
      <c r="B43" s="7">
        <v>25</v>
      </c>
      <c r="C43" s="3">
        <v>80</v>
      </c>
      <c r="D43" s="5" t="s">
        <v>18</v>
      </c>
      <c r="E43" s="3">
        <v>0.5</v>
      </c>
      <c r="F43" s="3">
        <v>0.5</v>
      </c>
      <c r="G43" s="3"/>
      <c r="H43" s="3">
        <v>1.5</v>
      </c>
      <c r="I43" s="3"/>
      <c r="J43" s="1">
        <v>7.4219999999999997</v>
      </c>
      <c r="K43" s="4">
        <f t="shared" ref="K43:K45" si="14">J43*0.227221086116792</f>
        <v>1.6864349011588302</v>
      </c>
      <c r="L43" s="3">
        <v>0.41599999999999998</v>
      </c>
      <c r="M43" s="1">
        <v>14.95</v>
      </c>
      <c r="N43" s="9">
        <f t="shared" ref="N43:N45" si="15">100*(L43/((1.02*(1+(M43/100)))))</f>
        <v>35.480046738138491</v>
      </c>
      <c r="O43" s="3">
        <v>0.35699999999999998</v>
      </c>
      <c r="P43" s="3">
        <v>90</v>
      </c>
    </row>
    <row r="44" spans="1:19" x14ac:dyDescent="0.25">
      <c r="A44" s="3" t="s">
        <v>71</v>
      </c>
      <c r="B44" s="7">
        <v>40</v>
      </c>
      <c r="C44" s="3">
        <v>80</v>
      </c>
      <c r="D44" s="5" t="s">
        <v>18</v>
      </c>
      <c r="E44" s="3">
        <v>0.5</v>
      </c>
      <c r="F44" s="3">
        <v>0.5</v>
      </c>
      <c r="G44" s="3"/>
      <c r="H44" s="3">
        <v>1.5</v>
      </c>
      <c r="I44" s="3"/>
      <c r="J44" s="1">
        <v>6</v>
      </c>
      <c r="K44" s="4">
        <f t="shared" si="14"/>
        <v>1.363326516700752</v>
      </c>
      <c r="L44" s="3">
        <v>0.41299999999999998</v>
      </c>
      <c r="M44" s="1">
        <v>17.75</v>
      </c>
      <c r="N44" s="9">
        <f t="shared" si="15"/>
        <v>34.386578410557426</v>
      </c>
    </row>
    <row r="45" spans="1:19" x14ac:dyDescent="0.25">
      <c r="A45" s="3" t="s">
        <v>72</v>
      </c>
      <c r="B45" s="7">
        <v>60</v>
      </c>
      <c r="C45" s="3">
        <v>80</v>
      </c>
      <c r="D45" s="5" t="s">
        <v>18</v>
      </c>
      <c r="E45" s="3">
        <v>0.5</v>
      </c>
      <c r="F45" s="3">
        <v>0.5</v>
      </c>
      <c r="G45" s="3"/>
      <c r="H45" s="3">
        <v>1.5</v>
      </c>
      <c r="I45" s="3"/>
      <c r="J45" s="1">
        <v>8.7769999999999992</v>
      </c>
      <c r="K45" s="4">
        <f t="shared" si="14"/>
        <v>1.9943194728470832</v>
      </c>
      <c r="L45" s="3">
        <v>0.373</v>
      </c>
      <c r="M45" s="1">
        <v>18.36</v>
      </c>
      <c r="N45" s="9">
        <f t="shared" si="15"/>
        <v>30.896102949459607</v>
      </c>
    </row>
    <row r="46" spans="1:19" x14ac:dyDescent="0.25">
      <c r="A46" s="3" t="s">
        <v>73</v>
      </c>
      <c r="B46" s="7">
        <v>70</v>
      </c>
      <c r="C46" s="3">
        <v>80</v>
      </c>
      <c r="D46" s="5" t="s">
        <v>18</v>
      </c>
      <c r="E46" s="3">
        <v>0.5</v>
      </c>
      <c r="F46" s="3">
        <v>0.5</v>
      </c>
      <c r="G46" s="3"/>
      <c r="H46" s="3">
        <v>1.5</v>
      </c>
      <c r="I46" s="3"/>
      <c r="J46" s="1">
        <v>14.95</v>
      </c>
      <c r="K46" s="4">
        <f t="shared" ref="K46:K47" si="16">J46*0.227221086116792</f>
        <v>3.3969552374460403</v>
      </c>
      <c r="L46" s="3">
        <v>0.51600000000000001</v>
      </c>
      <c r="M46" s="1">
        <v>11.57</v>
      </c>
      <c r="N46" s="9">
        <f t="shared" ref="N46:N47" si="17">100*(L46/((1.02*(1+(M46/100)))))</f>
        <v>45.342148690613655</v>
      </c>
    </row>
    <row r="47" spans="1:19" x14ac:dyDescent="0.25">
      <c r="A47" s="3" t="s">
        <v>21</v>
      </c>
      <c r="B47" s="7">
        <v>80</v>
      </c>
      <c r="C47" s="3">
        <v>80</v>
      </c>
      <c r="D47" s="5" t="s">
        <v>18</v>
      </c>
      <c r="E47" s="3">
        <v>0.5</v>
      </c>
      <c r="F47" s="3">
        <v>0.5</v>
      </c>
      <c r="G47" s="3"/>
      <c r="H47" s="3">
        <v>1.5</v>
      </c>
      <c r="I47" s="3"/>
      <c r="J47" s="1">
        <v>15.72</v>
      </c>
      <c r="K47" s="8">
        <f t="shared" si="16"/>
        <v>3.5719154737559706</v>
      </c>
      <c r="L47" s="3">
        <v>0.60199999999999998</v>
      </c>
      <c r="M47" s="1">
        <v>18.37</v>
      </c>
      <c r="N47" s="9">
        <f t="shared" si="17"/>
        <v>49.860275275101166</v>
      </c>
      <c r="O47" s="3">
        <v>0.222</v>
      </c>
      <c r="P47" s="3">
        <v>394</v>
      </c>
    </row>
    <row r="48" spans="1:19" x14ac:dyDescent="0.25">
      <c r="A48" s="3" t="s">
        <v>74</v>
      </c>
      <c r="B48" s="7">
        <v>85</v>
      </c>
      <c r="C48" s="3">
        <v>80</v>
      </c>
      <c r="D48" s="5" t="s">
        <v>18</v>
      </c>
      <c r="E48" s="3">
        <v>0.5</v>
      </c>
      <c r="F48" s="3">
        <v>0.5</v>
      </c>
      <c r="G48" s="3"/>
      <c r="H48" s="3">
        <v>1.5</v>
      </c>
      <c r="I48" s="3" t="s">
        <v>75</v>
      </c>
      <c r="J48" s="1">
        <v>15.9</v>
      </c>
      <c r="K48" s="8">
        <f>J48*0.227221086116792</f>
        <v>3.612815269256993</v>
      </c>
      <c r="L48" s="3">
        <v>0.77200000000000002</v>
      </c>
      <c r="M48" s="1">
        <v>19.79</v>
      </c>
      <c r="N48" s="9">
        <f>100*(L48/((1.02*(1+(M48/100)))))</f>
        <v>63.182464738128331</v>
      </c>
      <c r="O48" s="3">
        <v>0.214</v>
      </c>
      <c r="P48" s="3">
        <v>386</v>
      </c>
    </row>
    <row r="49" spans="1:19" x14ac:dyDescent="0.25">
      <c r="A49" s="3"/>
      <c r="B49" s="3"/>
      <c r="C49" s="3"/>
      <c r="D49" s="5"/>
      <c r="E49" s="3"/>
      <c r="F49" s="3"/>
      <c r="G49" s="3"/>
      <c r="H49" s="3"/>
      <c r="I49" s="3"/>
      <c r="J49" s="1"/>
      <c r="K49" s="4"/>
      <c r="L49" s="3"/>
      <c r="M49" s="1"/>
      <c r="N49" s="9"/>
      <c r="Q49" s="3"/>
      <c r="R49" s="3"/>
    </row>
    <row r="50" spans="1:19" x14ac:dyDescent="0.25">
      <c r="A50" s="18" t="s">
        <v>76</v>
      </c>
      <c r="Q50" s="11" t="s">
        <v>77</v>
      </c>
      <c r="R50" s="11" t="s">
        <v>78</v>
      </c>
      <c r="S50" s="11" t="s">
        <v>79</v>
      </c>
    </row>
    <row r="51" spans="1:19" x14ac:dyDescent="0.25">
      <c r="A51" s="3" t="s">
        <v>21</v>
      </c>
      <c r="B51" s="3">
        <v>80</v>
      </c>
      <c r="C51" s="3">
        <v>80</v>
      </c>
      <c r="D51" s="5" t="s">
        <v>18</v>
      </c>
      <c r="E51" s="7">
        <v>0.5</v>
      </c>
      <c r="F51" s="3">
        <v>0.5</v>
      </c>
      <c r="G51" s="3"/>
      <c r="H51" s="3">
        <v>1.5</v>
      </c>
      <c r="I51" s="3"/>
      <c r="J51" s="1">
        <v>15.72</v>
      </c>
      <c r="K51" s="4">
        <f t="shared" ref="K51" si="18">J51*0.227221086116792</f>
        <v>3.5719154737559706</v>
      </c>
      <c r="L51" s="3">
        <v>0.60199999999999998</v>
      </c>
      <c r="M51" s="1">
        <v>18.37</v>
      </c>
      <c r="N51" s="9">
        <f t="shared" ref="N51" si="19">100*(L51/((1.02*(1+(M51/100)))))</f>
        <v>49.860275275101166</v>
      </c>
      <c r="O51" s="3">
        <v>0.222</v>
      </c>
      <c r="P51" s="3">
        <v>394</v>
      </c>
      <c r="Q51" s="3">
        <v>0</v>
      </c>
      <c r="R51" s="17">
        <v>0</v>
      </c>
    </row>
    <row r="52" spans="1:19" ht="18" x14ac:dyDescent="0.35">
      <c r="A52" s="3" t="s">
        <v>80</v>
      </c>
      <c r="B52" s="3">
        <v>80</v>
      </c>
      <c r="C52" s="3">
        <v>80</v>
      </c>
      <c r="D52" s="5" t="s">
        <v>18</v>
      </c>
      <c r="E52" s="7">
        <v>0.45</v>
      </c>
      <c r="F52" s="3">
        <v>0.5</v>
      </c>
      <c r="G52" s="3"/>
      <c r="H52" s="3">
        <v>1.5</v>
      </c>
      <c r="I52" s="3" t="s">
        <v>81</v>
      </c>
      <c r="J52" s="1">
        <v>13.02</v>
      </c>
      <c r="K52" s="4">
        <f t="shared" ref="K52:K56" si="20">J52*0.227221086116792</f>
        <v>2.9584185412406319</v>
      </c>
      <c r="L52" s="3">
        <v>0.45700000000000002</v>
      </c>
      <c r="M52" s="1">
        <v>20.260000000000002</v>
      </c>
      <c r="N52" s="9">
        <f t="shared" ref="N52:N56" si="21">100*(L52/((1.02*(1+(M52/100)))))</f>
        <v>37.255880233350624</v>
      </c>
      <c r="O52" s="3">
        <v>0.22600000000000001</v>
      </c>
      <c r="P52" s="3">
        <v>292</v>
      </c>
      <c r="Q52" s="3">
        <f>0.05/0.5</f>
        <v>0.1</v>
      </c>
      <c r="R52" s="17">
        <v>6.325331950362236E-3</v>
      </c>
      <c r="S52" s="4">
        <f>R52/Q52*100</f>
        <v>6.3253319503622354</v>
      </c>
    </row>
    <row r="53" spans="1:19" ht="18" x14ac:dyDescent="0.35">
      <c r="A53" s="3" t="s">
        <v>82</v>
      </c>
      <c r="B53" s="3">
        <v>80</v>
      </c>
      <c r="C53" s="3">
        <v>80</v>
      </c>
      <c r="D53" s="5" t="s">
        <v>18</v>
      </c>
      <c r="E53" s="7">
        <v>0.42499999999999999</v>
      </c>
      <c r="F53" s="3">
        <v>0.5</v>
      </c>
      <c r="G53" s="3"/>
      <c r="H53" s="3">
        <v>1.5</v>
      </c>
      <c r="I53" s="3" t="s">
        <v>83</v>
      </c>
      <c r="J53" s="1">
        <v>16.13</v>
      </c>
      <c r="K53" s="4">
        <f>J53*0.227221086116792</f>
        <v>3.6650761190638548</v>
      </c>
      <c r="L53" s="3">
        <v>0.39100000000000001</v>
      </c>
      <c r="M53" s="1">
        <v>18.7</v>
      </c>
      <c r="N53" s="9">
        <f>100*(L53/((1.02*(1+(M53/100)))))</f>
        <v>32.29429935411401</v>
      </c>
      <c r="Q53" s="3">
        <f>0.075/0.5</f>
        <v>0.15</v>
      </c>
      <c r="R53" s="17">
        <v>1.256825259141453E-2</v>
      </c>
      <c r="S53" s="4">
        <f t="shared" ref="S53:S56" si="22">R53/Q53*100</f>
        <v>8.3788350609430218</v>
      </c>
    </row>
    <row r="54" spans="1:19" ht="18" x14ac:dyDescent="0.35">
      <c r="A54" s="3" t="s">
        <v>84</v>
      </c>
      <c r="B54" s="3">
        <v>80</v>
      </c>
      <c r="C54" s="3">
        <v>80</v>
      </c>
      <c r="D54" s="5" t="s">
        <v>18</v>
      </c>
      <c r="E54" s="7">
        <v>0.4</v>
      </c>
      <c r="F54" s="3">
        <v>0.5</v>
      </c>
      <c r="G54" s="3"/>
      <c r="H54" s="3">
        <v>1.5</v>
      </c>
      <c r="I54" s="3" t="s">
        <v>85</v>
      </c>
      <c r="J54" s="1">
        <v>16.88</v>
      </c>
      <c r="K54" s="4">
        <f t="shared" si="20"/>
        <v>3.8354919336514488</v>
      </c>
      <c r="L54" s="3">
        <v>0.42899999999999999</v>
      </c>
      <c r="M54" s="1">
        <v>20.22</v>
      </c>
      <c r="N54" s="9">
        <f t="shared" si="21"/>
        <v>34.984880659966535</v>
      </c>
      <c r="O54" s="3">
        <v>0.17499999999999999</v>
      </c>
      <c r="P54" s="3">
        <v>528</v>
      </c>
      <c r="Q54" s="3">
        <f>0.1/0.5</f>
        <v>0.2</v>
      </c>
      <c r="R54" s="17">
        <v>1.8138478919280044E-2</v>
      </c>
      <c r="S54" s="4">
        <f t="shared" si="22"/>
        <v>9.0692394596400216</v>
      </c>
    </row>
    <row r="55" spans="1:19" ht="18" x14ac:dyDescent="0.35">
      <c r="A55" s="3" t="s">
        <v>86</v>
      </c>
      <c r="B55" s="3">
        <v>80</v>
      </c>
      <c r="C55" s="3">
        <v>80</v>
      </c>
      <c r="D55" s="5" t="s">
        <v>18</v>
      </c>
      <c r="E55" s="7">
        <v>0.375</v>
      </c>
      <c r="F55" s="3">
        <v>0.5</v>
      </c>
      <c r="G55" s="3"/>
      <c r="H55" s="3">
        <v>1.5</v>
      </c>
      <c r="I55" s="3" t="s">
        <v>87</v>
      </c>
      <c r="J55" s="1">
        <v>16.37</v>
      </c>
      <c r="K55" s="4">
        <f>J55*0.227221086116792</f>
        <v>3.7196091797318855</v>
      </c>
      <c r="L55" s="3">
        <v>0.35099999999999998</v>
      </c>
      <c r="M55" s="1">
        <v>19.07</v>
      </c>
      <c r="N55" s="9">
        <f>100*(L55/((1.02*(1+(M55/100)))))</f>
        <v>28.900449068516291</v>
      </c>
      <c r="Q55" s="3">
        <f>0.125/0.5</f>
        <v>0.25</v>
      </c>
      <c r="R55" s="17">
        <v>2.0405261732727352E-2</v>
      </c>
      <c r="S55" s="4">
        <f t="shared" si="22"/>
        <v>8.1621046930909404</v>
      </c>
    </row>
    <row r="56" spans="1:19" ht="18" x14ac:dyDescent="0.35">
      <c r="A56" s="3" t="s">
        <v>88</v>
      </c>
      <c r="B56" s="3">
        <v>80</v>
      </c>
      <c r="C56" s="3">
        <v>80</v>
      </c>
      <c r="D56" s="5" t="s">
        <v>18</v>
      </c>
      <c r="E56" s="7">
        <v>0.3</v>
      </c>
      <c r="F56" s="3">
        <v>0.5</v>
      </c>
      <c r="G56" s="3"/>
      <c r="H56" s="3">
        <v>1.5</v>
      </c>
      <c r="I56" s="3" t="s">
        <v>89</v>
      </c>
      <c r="J56" s="1">
        <v>14.8</v>
      </c>
      <c r="K56" s="4">
        <f t="shared" si="20"/>
        <v>3.3628720745285219</v>
      </c>
      <c r="L56" s="3">
        <v>0.17899999999999999</v>
      </c>
      <c r="M56" s="1">
        <v>20.27</v>
      </c>
      <c r="N56" s="9">
        <f t="shared" si="21"/>
        <v>14.591352463493088</v>
      </c>
      <c r="O56" s="3">
        <v>0.15</v>
      </c>
      <c r="P56" s="3">
        <v>464</v>
      </c>
      <c r="Q56" s="3">
        <f>0.2/0.5</f>
        <v>0.4</v>
      </c>
      <c r="R56" s="17">
        <v>3.1789483022273239E-2</v>
      </c>
      <c r="S56" s="4">
        <f t="shared" si="22"/>
        <v>7.9473707555683086</v>
      </c>
    </row>
    <row r="58" spans="1:19" x14ac:dyDescent="0.25">
      <c r="A58" s="13" t="s">
        <v>90</v>
      </c>
      <c r="B58" s="5"/>
      <c r="C58" s="3"/>
      <c r="D58" s="5"/>
      <c r="E58" s="3"/>
      <c r="F58" s="3"/>
      <c r="G58" s="3"/>
      <c r="H58" s="3"/>
      <c r="I58" s="3"/>
      <c r="J58" s="1"/>
      <c r="K58" s="4"/>
      <c r="L58" s="3"/>
      <c r="M58" s="1"/>
      <c r="N58" s="9"/>
      <c r="Q58" s="11" t="s">
        <v>91</v>
      </c>
      <c r="R58" s="11" t="s">
        <v>92</v>
      </c>
      <c r="S58" s="13" t="s">
        <v>93</v>
      </c>
    </row>
    <row r="59" spans="1:19" x14ac:dyDescent="0.25">
      <c r="A59" s="3" t="s">
        <v>21</v>
      </c>
      <c r="B59" s="3">
        <v>80</v>
      </c>
      <c r="C59" s="3">
        <v>80</v>
      </c>
      <c r="D59" s="5" t="s">
        <v>18</v>
      </c>
      <c r="E59" s="3">
        <v>0.5</v>
      </c>
      <c r="F59" s="3">
        <v>0.5</v>
      </c>
      <c r="G59" s="3"/>
      <c r="H59" s="3">
        <v>1.5</v>
      </c>
      <c r="I59" s="7"/>
      <c r="J59" s="1">
        <v>15.72</v>
      </c>
      <c r="K59" s="4">
        <f t="shared" ref="K59" si="23">J59*0.227221086116792</f>
        <v>3.5719154737559706</v>
      </c>
      <c r="L59" s="3">
        <v>0.60199999999999998</v>
      </c>
      <c r="M59" s="1">
        <v>18.37</v>
      </c>
      <c r="N59" s="9">
        <f t="shared" ref="N59" si="24">100*(L59/((1.02*(1+(M59/100)))))</f>
        <v>49.860275275101166</v>
      </c>
      <c r="Q59" s="3">
        <v>0</v>
      </c>
      <c r="R59" s="8">
        <f>100-Q59</f>
        <v>100</v>
      </c>
      <c r="S59" s="15">
        <f>100*K59/R59</f>
        <v>3.5719154737559706</v>
      </c>
    </row>
    <row r="60" spans="1:19" x14ac:dyDescent="0.25">
      <c r="A60" s="3" t="s">
        <v>94</v>
      </c>
      <c r="B60" s="3">
        <v>80</v>
      </c>
      <c r="C60" s="3">
        <v>80</v>
      </c>
      <c r="D60" s="5" t="s">
        <v>18</v>
      </c>
      <c r="E60" s="3">
        <v>0.5</v>
      </c>
      <c r="F60" s="3">
        <v>0.5</v>
      </c>
      <c r="G60" s="3"/>
      <c r="H60" s="3">
        <v>1.5</v>
      </c>
      <c r="I60" s="7" t="s">
        <v>95</v>
      </c>
      <c r="J60" s="1">
        <v>15.51</v>
      </c>
      <c r="K60" s="4">
        <f t="shared" ref="K60:K61" si="25">J60*0.227221086116792</f>
        <v>3.5241990456714438</v>
      </c>
      <c r="L60" s="3">
        <v>0.63300000000000001</v>
      </c>
      <c r="M60" s="1">
        <v>15.79</v>
      </c>
      <c r="N60" s="9">
        <f>100*(L60/((1.02*(1+(M60/100)))+0.025))</f>
        <v>52.485038032996769</v>
      </c>
      <c r="Q60" s="8">
        <v>2.9</v>
      </c>
      <c r="R60" s="8">
        <f t="shared" ref="R60:R61" si="26">100-Q60</f>
        <v>97.1</v>
      </c>
      <c r="S60" s="15">
        <f t="shared" ref="S60:S61" si="27">100*K60/R60</f>
        <v>3.629453188127131</v>
      </c>
    </row>
    <row r="61" spans="1:19" x14ac:dyDescent="0.25">
      <c r="A61" s="3" t="s">
        <v>96</v>
      </c>
      <c r="B61" s="3">
        <v>80</v>
      </c>
      <c r="C61" s="3">
        <v>80</v>
      </c>
      <c r="D61" s="5" t="s">
        <v>18</v>
      </c>
      <c r="E61" s="3">
        <v>0.5</v>
      </c>
      <c r="F61" s="3">
        <v>0.5</v>
      </c>
      <c r="G61" s="3"/>
      <c r="H61" s="3">
        <v>1.5</v>
      </c>
      <c r="I61" s="7" t="s">
        <v>97</v>
      </c>
      <c r="J61" s="1">
        <v>13.66</v>
      </c>
      <c r="K61" s="4">
        <f t="shared" si="25"/>
        <v>3.1038400363553791</v>
      </c>
      <c r="L61" s="3">
        <v>0.63300000000000001</v>
      </c>
      <c r="M61" s="1">
        <v>17.57</v>
      </c>
      <c r="N61" s="9">
        <f>100*(L61/((1.02*(1+(M61/100)))+0.1))</f>
        <v>48.721765621367993</v>
      </c>
      <c r="Q61" s="8">
        <v>11.4</v>
      </c>
      <c r="R61" s="8">
        <f t="shared" si="26"/>
        <v>88.6</v>
      </c>
      <c r="S61" s="15">
        <f t="shared" si="27"/>
        <v>3.5032054586403829</v>
      </c>
    </row>
    <row r="62" spans="1:19" x14ac:dyDescent="0.25">
      <c r="A62" s="3"/>
      <c r="B62" s="3"/>
      <c r="C62" s="3"/>
      <c r="D62" s="5"/>
      <c r="E62" s="3"/>
      <c r="F62" s="3"/>
      <c r="G62" s="3"/>
      <c r="H62" s="3"/>
      <c r="I62" s="3"/>
      <c r="J62" s="1"/>
      <c r="K62" s="4"/>
      <c r="L62" s="3"/>
      <c r="M62" s="1"/>
      <c r="N62" s="9"/>
      <c r="Q62" s="3"/>
      <c r="R62" s="3"/>
    </row>
    <row r="63" spans="1:19" x14ac:dyDescent="0.25">
      <c r="A63" s="13" t="s">
        <v>98</v>
      </c>
      <c r="B63" s="3"/>
      <c r="C63" s="3"/>
      <c r="D63" s="5"/>
      <c r="E63" s="3"/>
      <c r="F63" s="3"/>
      <c r="G63" s="3"/>
      <c r="H63" s="3"/>
      <c r="I63" s="3"/>
      <c r="J63" s="1"/>
      <c r="K63" s="4"/>
      <c r="L63" s="3"/>
      <c r="M63" s="1"/>
      <c r="N63" s="9"/>
      <c r="Q63" s="3"/>
      <c r="R63" s="3"/>
    </row>
    <row r="64" spans="1:19" x14ac:dyDescent="0.25">
      <c r="A64" s="3" t="s">
        <v>21</v>
      </c>
      <c r="B64" s="3">
        <v>80</v>
      </c>
      <c r="C64" s="3">
        <v>80</v>
      </c>
      <c r="D64" s="5" t="s">
        <v>18</v>
      </c>
      <c r="E64" s="3">
        <v>0.5</v>
      </c>
      <c r="F64" s="3">
        <v>0.5</v>
      </c>
      <c r="G64" s="3"/>
      <c r="H64" s="3">
        <v>1.5</v>
      </c>
      <c r="I64" s="7"/>
      <c r="J64" s="1">
        <v>15.72</v>
      </c>
      <c r="K64" s="4">
        <f t="shared" ref="K64" si="28">J64*0.227221086116792</f>
        <v>3.5719154737559706</v>
      </c>
      <c r="L64" s="3">
        <v>0.60199999999999998</v>
      </c>
      <c r="M64" s="1">
        <v>18.37</v>
      </c>
      <c r="N64" s="9">
        <f t="shared" ref="N64" si="29">100*(L64/((1.02*(1+(M64/100)))))</f>
        <v>49.860275275101166</v>
      </c>
      <c r="O64" s="3">
        <v>0.222</v>
      </c>
      <c r="P64" s="3">
        <v>394</v>
      </c>
      <c r="Q64" s="3">
        <v>0</v>
      </c>
      <c r="R64" s="8">
        <f>100-Q64</f>
        <v>100</v>
      </c>
      <c r="S64" s="15">
        <f>100*K64/R64</f>
        <v>3.5719154737559706</v>
      </c>
    </row>
    <row r="65" spans="1:18" x14ac:dyDescent="0.25">
      <c r="A65" s="3" t="s">
        <v>99</v>
      </c>
      <c r="B65" s="3">
        <v>80</v>
      </c>
      <c r="C65" s="3">
        <v>80</v>
      </c>
      <c r="D65" s="5" t="s">
        <v>18</v>
      </c>
      <c r="E65" s="3">
        <v>0.5</v>
      </c>
      <c r="F65" s="3">
        <v>0.5</v>
      </c>
      <c r="G65" s="3"/>
      <c r="H65" s="3">
        <v>1.5</v>
      </c>
      <c r="I65" s="7" t="s">
        <v>100</v>
      </c>
      <c r="J65" s="1">
        <v>15.81</v>
      </c>
      <c r="K65" s="4">
        <f t="shared" ref="K65:K66" si="30">J65*0.227221086116792</f>
        <v>3.5923653715064816</v>
      </c>
      <c r="L65" s="3">
        <f>6.34+0.839</f>
        <v>7.1790000000000003</v>
      </c>
      <c r="M65" s="1">
        <v>19.87</v>
      </c>
      <c r="N65" s="9">
        <f>100*(L65/((10.2*(1+(M65/100)))))</f>
        <v>58.715569317741277</v>
      </c>
      <c r="O65" s="3">
        <v>0.218</v>
      </c>
      <c r="P65" s="3">
        <v>532</v>
      </c>
      <c r="Q65" s="3"/>
      <c r="R65" s="3"/>
    </row>
    <row r="66" spans="1:18" x14ac:dyDescent="0.25">
      <c r="A66" s="3" t="s">
        <v>101</v>
      </c>
      <c r="B66" s="3">
        <v>80</v>
      </c>
      <c r="C66" s="3">
        <v>80</v>
      </c>
      <c r="D66" s="5" t="s">
        <v>18</v>
      </c>
      <c r="E66" s="3">
        <v>0.5</v>
      </c>
      <c r="F66" s="3">
        <v>0.5</v>
      </c>
      <c r="G66" s="3"/>
      <c r="H66" s="3">
        <v>1.5</v>
      </c>
      <c r="I66" s="7" t="s">
        <v>102</v>
      </c>
      <c r="J66" s="1">
        <v>16.690000000000001</v>
      </c>
      <c r="K66" s="4">
        <f t="shared" si="30"/>
        <v>3.7923199272892587</v>
      </c>
      <c r="L66" s="3" t="s">
        <v>103</v>
      </c>
      <c r="M66" s="1">
        <v>12.34</v>
      </c>
      <c r="N66" s="9" t="s">
        <v>103</v>
      </c>
      <c r="O66" s="3">
        <v>0.218</v>
      </c>
      <c r="P66" s="3">
        <v>430</v>
      </c>
      <c r="Q66" s="3"/>
      <c r="R66" s="3"/>
    </row>
    <row r="67" spans="1:18" x14ac:dyDescent="0.25">
      <c r="A67" s="3"/>
      <c r="B67" s="3"/>
      <c r="C67" s="3"/>
      <c r="D67" s="5"/>
      <c r="E67" s="3"/>
      <c r="F67" s="3"/>
      <c r="G67" s="3"/>
      <c r="H67" s="3"/>
      <c r="I67" s="3"/>
      <c r="J67" s="1"/>
      <c r="K67" s="4"/>
      <c r="L67" s="3"/>
      <c r="M67" s="1"/>
      <c r="N67" s="9"/>
      <c r="Q67" s="3"/>
      <c r="R67" s="3"/>
    </row>
    <row r="68" spans="1:18" x14ac:dyDescent="0.25">
      <c r="A68" s="3"/>
      <c r="B68" s="3"/>
      <c r="C68" s="3"/>
      <c r="D68" s="5"/>
      <c r="E68" s="3"/>
      <c r="F68" s="3"/>
      <c r="G68" s="3"/>
      <c r="H68" s="3"/>
      <c r="I68" s="3"/>
      <c r="J68" s="1"/>
      <c r="K68" s="4"/>
      <c r="L68" s="3"/>
      <c r="M68" s="1"/>
      <c r="N68" s="9"/>
      <c r="Q68" s="3"/>
      <c r="R68" s="3"/>
    </row>
    <row r="70" spans="1:18" x14ac:dyDescent="0.25">
      <c r="A70" s="11"/>
    </row>
    <row r="71" spans="1:18" x14ac:dyDescent="0.25">
      <c r="A71" s="3"/>
      <c r="B71" s="3"/>
      <c r="C71" s="3"/>
      <c r="D71" s="5"/>
      <c r="E71" s="3"/>
      <c r="F71" s="3"/>
      <c r="G71" s="3"/>
      <c r="H71" s="8"/>
      <c r="I71" s="3"/>
      <c r="J71" s="1"/>
      <c r="K71" s="4"/>
      <c r="L71" s="3"/>
      <c r="M71" s="1"/>
      <c r="N71" s="9"/>
      <c r="Q71" s="3"/>
    </row>
    <row r="72" spans="1:18" x14ac:dyDescent="0.25">
      <c r="A72" s="3"/>
      <c r="B72" s="3"/>
      <c r="C72" s="3"/>
      <c r="D72" s="5"/>
      <c r="E72" s="3"/>
      <c r="F72" s="3"/>
      <c r="G72" s="3"/>
      <c r="H72" s="8"/>
      <c r="I72" s="3"/>
      <c r="J72" s="1"/>
      <c r="K72" s="4"/>
      <c r="L72" s="3"/>
      <c r="M72" s="1"/>
      <c r="N72" s="9"/>
      <c r="Q72" s="3"/>
    </row>
    <row r="73" spans="1:18" s="12" customFormat="1" x14ac:dyDescent="0.25">
      <c r="A73" s="6"/>
      <c r="B73" s="6"/>
      <c r="C73" s="6"/>
      <c r="D73" s="19"/>
      <c r="E73" s="6"/>
      <c r="F73" s="6"/>
      <c r="G73" s="6"/>
      <c r="H73" s="20"/>
      <c r="I73" s="6"/>
      <c r="J73" s="21"/>
      <c r="K73" s="22"/>
      <c r="L73" s="6"/>
      <c r="M73" s="21"/>
      <c r="N73" s="23"/>
      <c r="O73" s="6"/>
      <c r="P73" s="6"/>
      <c r="Q73" s="6"/>
    </row>
    <row r="74" spans="1:18" x14ac:dyDescent="0.25">
      <c r="A74" s="3"/>
      <c r="B74" s="3"/>
      <c r="C74" s="3"/>
      <c r="D74" s="5"/>
      <c r="E74" s="3"/>
      <c r="F74" s="3"/>
      <c r="G74" s="3"/>
      <c r="H74" s="3"/>
      <c r="I74" s="3"/>
      <c r="J74" s="1"/>
      <c r="K74" s="4"/>
      <c r="L74" s="3"/>
      <c r="M74" s="1"/>
      <c r="N74" s="9"/>
      <c r="Q74" s="3"/>
      <c r="R74" s="3"/>
    </row>
    <row r="75" spans="1:18" x14ac:dyDescent="0.25">
      <c r="A75" s="3"/>
      <c r="B75" s="3"/>
      <c r="C75" s="3"/>
      <c r="D75" s="5"/>
      <c r="E75" s="3"/>
      <c r="F75" s="3"/>
      <c r="G75" s="3"/>
      <c r="H75" s="3"/>
      <c r="I75" s="3"/>
      <c r="J75" s="1"/>
      <c r="K75" s="4"/>
      <c r="L75" s="3"/>
      <c r="M75" s="1"/>
      <c r="N75" s="9"/>
      <c r="Q75" s="3"/>
      <c r="R75" s="3"/>
    </row>
    <row r="76" spans="1:18" x14ac:dyDescent="0.25">
      <c r="A76" s="3"/>
      <c r="B76" s="3"/>
      <c r="C76" s="3"/>
      <c r="D76" s="5"/>
      <c r="E76" s="3"/>
      <c r="F76" s="3"/>
      <c r="G76" s="5"/>
      <c r="H76" s="3"/>
      <c r="I76" s="3"/>
      <c r="J76" s="1"/>
      <c r="K76" s="4"/>
      <c r="L76" s="3"/>
      <c r="M76" s="1"/>
      <c r="N76" s="9"/>
      <c r="Q76" s="3"/>
      <c r="R76" s="3"/>
    </row>
    <row r="77" spans="1:18" x14ac:dyDescent="0.25">
      <c r="A77" s="3"/>
      <c r="B77" s="3"/>
      <c r="C77" s="3"/>
      <c r="D77" s="5"/>
      <c r="E77" s="3"/>
      <c r="F77" s="3"/>
      <c r="G77" s="5"/>
      <c r="H77" s="3"/>
      <c r="I77" s="3"/>
      <c r="J77" s="1"/>
      <c r="K77" s="4"/>
      <c r="L77" s="3"/>
      <c r="M77" s="1"/>
      <c r="N77" s="9"/>
      <c r="Q77" s="3"/>
      <c r="R77" s="3"/>
    </row>
    <row r="78" spans="1:18" x14ac:dyDescent="0.25">
      <c r="A78" s="3"/>
      <c r="B78" s="3"/>
      <c r="C78" s="3"/>
      <c r="D78" s="5"/>
      <c r="E78" s="3"/>
      <c r="F78" s="3"/>
      <c r="G78" s="3"/>
      <c r="H78" s="3"/>
      <c r="I78" s="3"/>
      <c r="J78" s="1"/>
      <c r="K78" s="4"/>
      <c r="L78" s="3"/>
      <c r="M78" s="1"/>
      <c r="N78" s="9"/>
      <c r="Q78" s="8"/>
      <c r="R78" s="8"/>
    </row>
    <row r="79" spans="1:18" x14ac:dyDescent="0.25">
      <c r="A79" s="3"/>
      <c r="B79" s="3"/>
      <c r="C79" s="3"/>
      <c r="D79" s="5"/>
      <c r="E79" s="3"/>
      <c r="F79" s="3"/>
      <c r="G79" s="3"/>
      <c r="H79" s="3"/>
      <c r="I79" s="3"/>
      <c r="J79" s="1"/>
      <c r="K79" s="4"/>
      <c r="L79" s="3"/>
      <c r="M79" s="1"/>
      <c r="N79" s="9"/>
      <c r="Q79" s="3"/>
      <c r="R79" s="3"/>
    </row>
    <row r="80" spans="1:18" x14ac:dyDescent="0.25">
      <c r="A80" s="3"/>
      <c r="B80" s="3"/>
      <c r="C80" s="3"/>
      <c r="D80" s="5"/>
      <c r="E80" s="3"/>
      <c r="F80" s="3"/>
      <c r="G80" s="3"/>
      <c r="H80" s="3"/>
      <c r="I80" s="3"/>
      <c r="J80" s="1"/>
      <c r="K80" s="4"/>
      <c r="L80" s="3"/>
      <c r="M80" s="1"/>
      <c r="N80" s="9"/>
      <c r="Q80" s="8"/>
      <c r="R80" s="3"/>
    </row>
    <row r="81" spans="1:18" x14ac:dyDescent="0.25">
      <c r="A81" s="3"/>
      <c r="B81" s="3"/>
      <c r="C81" s="3"/>
      <c r="D81" s="5"/>
      <c r="E81" s="3"/>
      <c r="F81" s="3"/>
      <c r="G81" s="3"/>
      <c r="H81" s="3"/>
      <c r="I81" s="3"/>
      <c r="J81" s="1"/>
      <c r="K81" s="4"/>
      <c r="L81" s="3"/>
      <c r="M81" s="1"/>
      <c r="N81" s="9"/>
      <c r="Q81" s="3"/>
      <c r="R81" s="3"/>
    </row>
    <row r="82" spans="1:18" x14ac:dyDescent="0.25">
      <c r="A82" s="3"/>
      <c r="B82" s="3"/>
      <c r="C82" s="3"/>
      <c r="D82" s="5"/>
      <c r="E82" s="3"/>
      <c r="F82" s="3"/>
      <c r="G82" s="3"/>
      <c r="H82" s="3"/>
      <c r="I82" s="24"/>
      <c r="J82" s="1"/>
      <c r="K82" s="4"/>
      <c r="L82" s="3"/>
      <c r="M82" s="1"/>
      <c r="N82" s="9"/>
      <c r="Q82" s="3"/>
      <c r="R82" s="3"/>
    </row>
    <row r="83" spans="1:18" x14ac:dyDescent="0.25">
      <c r="A83" s="3"/>
      <c r="B83" s="3"/>
      <c r="C83" s="3"/>
      <c r="D83" s="5"/>
      <c r="E83" s="3"/>
      <c r="F83" s="3"/>
      <c r="G83" s="3"/>
      <c r="H83" s="3"/>
      <c r="I83" s="3"/>
      <c r="J83" s="1"/>
      <c r="K83" s="4"/>
      <c r="L83" s="3"/>
      <c r="M83" s="1"/>
      <c r="N83" s="9"/>
      <c r="Q83" s="3"/>
      <c r="R83" s="3"/>
    </row>
    <row r="84" spans="1:18" x14ac:dyDescent="0.25">
      <c r="A84" s="3"/>
      <c r="B84" s="3"/>
      <c r="C84" s="3"/>
      <c r="D84" s="5"/>
      <c r="E84" s="3"/>
      <c r="F84" s="3"/>
      <c r="G84" s="3"/>
      <c r="H84" s="3"/>
      <c r="I84" s="3"/>
      <c r="J84" s="1"/>
      <c r="K84" s="4"/>
      <c r="L84" s="3"/>
      <c r="M84" s="1"/>
      <c r="N84" s="9"/>
      <c r="Q84" s="3">
        <f>0/0.5</f>
        <v>0</v>
      </c>
      <c r="R84" s="3"/>
    </row>
    <row r="85" spans="1:18" x14ac:dyDescent="0.25">
      <c r="J85" s="1"/>
      <c r="K85" s="4"/>
    </row>
    <row r="91" spans="1:18" x14ac:dyDescent="0.25">
      <c r="C91" s="27" t="s">
        <v>104</v>
      </c>
      <c r="D91" s="27"/>
      <c r="E91" s="27"/>
    </row>
    <row r="92" spans="1:18" ht="18" x14ac:dyDescent="0.35">
      <c r="C92" t="s">
        <v>105</v>
      </c>
      <c r="D92" t="s">
        <v>106</v>
      </c>
      <c r="E92" t="s">
        <v>107</v>
      </c>
      <c r="F92" t="s">
        <v>107</v>
      </c>
      <c r="H92" t="s">
        <v>108</v>
      </c>
    </row>
    <row r="93" spans="1:18" x14ac:dyDescent="0.25">
      <c r="C93" t="s">
        <v>109</v>
      </c>
      <c r="D93" s="15">
        <v>3.5719154737559706</v>
      </c>
      <c r="H93" s="16">
        <v>49.860275275101166</v>
      </c>
    </row>
    <row r="94" spans="1:18" x14ac:dyDescent="0.25">
      <c r="C94" t="s">
        <v>110</v>
      </c>
      <c r="D94" s="15">
        <v>3.5923653715064816</v>
      </c>
      <c r="H94" s="16">
        <v>58.715569317741277</v>
      </c>
    </row>
    <row r="95" spans="1:18" x14ac:dyDescent="0.25">
      <c r="C95" t="s">
        <v>111</v>
      </c>
      <c r="D95" s="15">
        <v>3.7923199272892587</v>
      </c>
      <c r="H95" s="16" t="s">
        <v>103</v>
      </c>
    </row>
  </sheetData>
  <mergeCells count="3">
    <mergeCell ref="R31:R32"/>
    <mergeCell ref="S31:S32"/>
    <mergeCell ref="C91:E9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eb6231-397a-455f-92e3-fa2b1e295cc4" xsi:nil="true"/>
    <lcf76f155ced4ddcb4097134ff3c332f xmlns="1c984a37-fa25-486b-abe3-8c50415064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3848AB3E27441A746D47ECED563B0" ma:contentTypeVersion="17" ma:contentTypeDescription="Create a new document." ma:contentTypeScope="" ma:versionID="e9bf3a4ab122af63623722e6185c07d4">
  <xsd:schema xmlns:xsd="http://www.w3.org/2001/XMLSchema" xmlns:xs="http://www.w3.org/2001/XMLSchema" xmlns:p="http://schemas.microsoft.com/office/2006/metadata/properties" xmlns:ns2="1c984a37-fa25-486b-abe3-8c50415064c9" xmlns:ns3="68eb6231-397a-455f-92e3-fa2b1e295cc4" targetNamespace="http://schemas.microsoft.com/office/2006/metadata/properties" ma:root="true" ma:fieldsID="5d88dda592caabd63835a6e582259dcc" ns2:_="" ns3:_="">
    <xsd:import namespace="1c984a37-fa25-486b-abe3-8c50415064c9"/>
    <xsd:import namespace="68eb6231-397a-455f-92e3-fa2b1e295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84a37-fa25-486b-abe3-8c5041506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b6231-397a-455f-92e3-fa2b1e295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d15e1b-34e3-43df-b99f-d47ef83e1d54}" ma:internalName="TaxCatchAll" ma:showField="CatchAllData" ma:web="68eb6231-397a-455f-92e3-fa2b1e295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43E026-4279-4D25-8AD9-7743471E10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B32DF9-EC05-41DB-9C26-66783990D408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68eb6231-397a-455f-92e3-fa2b1e295cc4"/>
    <ds:schemaRef ds:uri="1c984a37-fa25-486b-abe3-8c50415064c9"/>
  </ds:schemaRefs>
</ds:datastoreItem>
</file>

<file path=customXml/itemProps3.xml><?xml version="1.0" encoding="utf-8"?>
<ds:datastoreItem xmlns:ds="http://schemas.openxmlformats.org/officeDocument/2006/customXml" ds:itemID="{BA4C5C45-BB34-406E-A109-639855CB2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984a37-fa25-486b-abe3-8c50415064c9"/>
    <ds:schemaRef ds:uri="68eb6231-397a-455f-92e3-fa2b1e295c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13</vt:i4>
      </vt:variant>
    </vt:vector>
  </HeadingPairs>
  <TitlesOfParts>
    <vt:vector size="14" baseType="lpstr">
      <vt:lpstr>Data</vt:lpstr>
      <vt:lpstr>CO2 vs KOH</vt:lpstr>
      <vt:lpstr>CO2 vs CA.KOH</vt:lpstr>
      <vt:lpstr>CO2 vs H2O-EtOH</vt:lpstr>
      <vt:lpstr>CO2 vs H2O fraction</vt:lpstr>
      <vt:lpstr>CO2 vs flow rate (2)</vt:lpstr>
      <vt:lpstr>ads prod vs flow rate</vt:lpstr>
      <vt:lpstr>CO2 vs T (2)</vt:lpstr>
      <vt:lpstr>CO2 vs Mg (added)</vt:lpstr>
      <vt:lpstr>CO2 vs Mg (ICP)</vt:lpstr>
      <vt:lpstr>Mg added vs actual</vt:lpstr>
      <vt:lpstr>Mg added vs incorporation %</vt:lpstr>
      <vt:lpstr>CO2 vs MNP</vt:lpstr>
      <vt:lpstr>CO2 vs scale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Woodliffe</dc:creator>
  <cp:keywords/>
  <dc:description/>
  <cp:lastModifiedBy>Andrea Laybourn (staff)</cp:lastModifiedBy>
  <cp:revision/>
  <dcterms:created xsi:type="dcterms:W3CDTF">2015-06-05T18:17:20Z</dcterms:created>
  <dcterms:modified xsi:type="dcterms:W3CDTF">2024-07-01T15:04:28Z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0x010100FE83848AB3E27441A746D47ECED563B0</vt:lpwstr>
  </property>
  <property fmtid="{D5CDD505-2E9C-101B-9397-08002B2CF9AE}" pid="3" name="MediaServiceImageTags">
    <vt:lpwstr/>
  </property>
</Properties>
</file>