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omments7.xml" ContentType="application/vnd.openxmlformats-officedocument.spreadsheetml.comments+xml"/>
  <Override PartName="/xl/threadedComments/threadedComment3.xml" ContentType="application/vnd.ms-excel.threadedcomment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omments8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david_gardner_nottingham_ac_uk/Documents/Nottingham/5. Papers &amp; Abstracts/Papers submitted/2024 Plant-based Pet Food/Nutrition paper/"/>
    </mc:Choice>
  </mc:AlternateContent>
  <xr:revisionPtr revIDLastSave="11" documentId="8_{88B83680-0FEE-4898-9698-2F0A3EC0F09C}" xr6:coauthVersionLast="47" xr6:coauthVersionMax="47" xr10:uidLastSave="{442CD377-EF8E-4D4D-A09E-96ECCCB44F66}"/>
  <bookViews>
    <workbookView xWindow="19728" yWindow="-17088" windowWidth="30048" windowHeight="15876" tabRatio="846" firstSheet="1" activeTab="1" xr2:uid="{2D11B5FB-E71C-1E40-B5D3-66F4AA8598DF}"/>
  </bookViews>
  <sheets>
    <sheet name="Foods with 2 mineral analyses" sheetId="8" state="hidden" r:id="rId1"/>
    <sheet name="Full dog food table" sheetId="3" r:id="rId2"/>
    <sheet name="Minerals (per100gDM)" sheetId="28" state="hidden" r:id="rId3"/>
    <sheet name="Minerals (per1000kcal ME)" sheetId="29" r:id="rId4"/>
    <sheet name="Delivery 21022022" sheetId="5" state="hidden" r:id="rId5"/>
    <sheet name="Delivery 03032022 " sheetId="6" state="hidden" r:id="rId6"/>
    <sheet name="AA (per100gDM)" sheetId="21" state="hidden" r:id="rId7"/>
    <sheet name="Vitamin looksy" sheetId="7" state="hidden" r:id="rId8"/>
    <sheet name="AA Summary" sheetId="17" state="hidden" r:id="rId9"/>
    <sheet name="AA table (per100gDM)" sheetId="12" state="hidden" r:id="rId10"/>
    <sheet name="AA (per1000kcal ME)" sheetId="32" r:id="rId11"/>
    <sheet name="FAME" sheetId="22" r:id="rId12"/>
    <sheet name="Vitamin D (per100gDM)" sheetId="11" state="hidden" r:id="rId13"/>
    <sheet name="RB_LoQ_LoD" sheetId="14" state="hidden" r:id="rId14"/>
    <sheet name="Vitamin D (per1000kcal ME)" sheetId="33" r:id="rId15"/>
    <sheet name="Vitamin B" sheetId="25" r:id="rId16"/>
  </sheets>
  <definedNames>
    <definedName name="_xlnm._FilterDatabase" localSheetId="5" hidden="1">'Delivery 03032022 '!$A$1:$D$22</definedName>
    <definedName name="_xlnm._FilterDatabase" localSheetId="4" hidden="1">'Delivery 21022022'!$A$1:$D$22</definedName>
    <definedName name="_xlnm._FilterDatabase" localSheetId="1" hidden="1">'Full dog food table'!$A$1:$DR$1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6" i="3" l="1"/>
  <c r="AS30" i="3"/>
  <c r="M156" i="25"/>
  <c r="M155" i="25"/>
  <c r="M154" i="25"/>
  <c r="M153" i="25"/>
  <c r="M152" i="25"/>
  <c r="M151" i="25"/>
  <c r="L156" i="25"/>
  <c r="L155" i="25"/>
  <c r="L154" i="25"/>
  <c r="L153" i="25"/>
  <c r="L152" i="25"/>
  <c r="L151" i="25"/>
  <c r="L134" i="25"/>
  <c r="M134" i="25"/>
  <c r="L135" i="25"/>
  <c r="M135" i="25"/>
  <c r="L136" i="25"/>
  <c r="M136" i="25"/>
  <c r="L137" i="25"/>
  <c r="M137" i="25"/>
  <c r="L138" i="25"/>
  <c r="M138" i="25"/>
  <c r="L139" i="25"/>
  <c r="M139" i="25"/>
  <c r="L140" i="25"/>
  <c r="M140" i="25"/>
  <c r="L141" i="25"/>
  <c r="M141" i="25"/>
  <c r="L142" i="25"/>
  <c r="M142" i="25"/>
  <c r="L143" i="25"/>
  <c r="M143" i="25"/>
  <c r="L144" i="25"/>
  <c r="M144" i="25"/>
  <c r="L145" i="25"/>
  <c r="M145" i="25"/>
  <c r="L146" i="25"/>
  <c r="M146" i="25"/>
  <c r="L147" i="25"/>
  <c r="M147" i="25"/>
  <c r="L148" i="25"/>
  <c r="M148" i="25"/>
  <c r="L149" i="25"/>
  <c r="M149" i="25"/>
  <c r="M133" i="25"/>
  <c r="L133" i="25"/>
  <c r="E151" i="25"/>
  <c r="F151" i="25"/>
  <c r="G151" i="25"/>
  <c r="H151" i="25"/>
  <c r="I151" i="25"/>
  <c r="J151" i="25"/>
  <c r="E152" i="25"/>
  <c r="F152" i="25"/>
  <c r="G152" i="25"/>
  <c r="H152" i="25"/>
  <c r="I152" i="25"/>
  <c r="J152" i="25"/>
  <c r="E153" i="25"/>
  <c r="F153" i="25"/>
  <c r="G153" i="25"/>
  <c r="H153" i="25"/>
  <c r="I153" i="25"/>
  <c r="J153" i="25"/>
  <c r="E154" i="25"/>
  <c r="F154" i="25"/>
  <c r="G154" i="25"/>
  <c r="H154" i="25"/>
  <c r="I154" i="25"/>
  <c r="J154" i="25"/>
  <c r="E155" i="25"/>
  <c r="F155" i="25"/>
  <c r="G155" i="25"/>
  <c r="H155" i="25"/>
  <c r="I155" i="25"/>
  <c r="J155" i="25"/>
  <c r="E156" i="25"/>
  <c r="F156" i="25"/>
  <c r="G156" i="25"/>
  <c r="H156" i="25"/>
  <c r="I156" i="25"/>
  <c r="J156" i="25"/>
  <c r="D156" i="25"/>
  <c r="D154" i="25"/>
  <c r="D152" i="25"/>
  <c r="D155" i="25"/>
  <c r="D153" i="25"/>
  <c r="D151" i="25"/>
  <c r="D43" i="29"/>
  <c r="M41" i="29"/>
  <c r="H41" i="29"/>
  <c r="D42" i="29"/>
  <c r="P43" i="29"/>
  <c r="E41" i="29"/>
  <c r="F41" i="29"/>
  <c r="G41" i="29"/>
  <c r="I41" i="29"/>
  <c r="J41" i="29"/>
  <c r="K41" i="29"/>
  <c r="L41" i="29"/>
  <c r="N41" i="29"/>
  <c r="O41" i="29"/>
  <c r="P41" i="29"/>
  <c r="E42" i="29"/>
  <c r="F42" i="29"/>
  <c r="G42" i="29"/>
  <c r="H42" i="29"/>
  <c r="I42" i="29"/>
  <c r="J42" i="29"/>
  <c r="K42" i="29"/>
  <c r="L42" i="29"/>
  <c r="M42" i="29"/>
  <c r="N42" i="29"/>
  <c r="O42" i="29"/>
  <c r="P42" i="29"/>
  <c r="E43" i="29"/>
  <c r="F43" i="29"/>
  <c r="G43" i="29"/>
  <c r="H43" i="29"/>
  <c r="I43" i="29"/>
  <c r="J43" i="29"/>
  <c r="K43" i="29"/>
  <c r="L43" i="29"/>
  <c r="M43" i="29"/>
  <c r="N43" i="29"/>
  <c r="O43" i="29"/>
  <c r="D41" i="29"/>
  <c r="D33" i="29"/>
  <c r="G20" i="33" l="1"/>
  <c r="H22" i="33"/>
  <c r="D40" i="29"/>
  <c r="G39" i="29"/>
  <c r="AS38" i="22"/>
  <c r="H72" i="22"/>
  <c r="S71" i="32"/>
  <c r="E37" i="32"/>
  <c r="E97" i="32" s="1"/>
  <c r="C49" i="25"/>
  <c r="C6" i="25"/>
  <c r="C7" i="25" s="1"/>
  <c r="M71" i="25"/>
  <c r="M6" i="25"/>
  <c r="M7" i="25" s="1"/>
  <c r="L71" i="25"/>
  <c r="L6" i="25"/>
  <c r="L7" i="25" s="1"/>
  <c r="M51" i="25"/>
  <c r="M52" i="25"/>
  <c r="M53" i="25"/>
  <c r="M54" i="25"/>
  <c r="M55" i="25"/>
  <c r="M56" i="25"/>
  <c r="M84" i="25" s="1"/>
  <c r="M57" i="25"/>
  <c r="M58" i="25"/>
  <c r="M59" i="25"/>
  <c r="M60" i="25"/>
  <c r="M62" i="25"/>
  <c r="M63" i="25"/>
  <c r="M64" i="25"/>
  <c r="M65" i="25"/>
  <c r="M66" i="25"/>
  <c r="M67" i="25"/>
  <c r="L52" i="25"/>
  <c r="L53" i="25"/>
  <c r="L54" i="25"/>
  <c r="L55" i="25"/>
  <c r="L56" i="25"/>
  <c r="L57" i="25"/>
  <c r="L58" i="25"/>
  <c r="L59" i="25"/>
  <c r="L60" i="25"/>
  <c r="L62" i="25"/>
  <c r="L63" i="25"/>
  <c r="L64" i="25"/>
  <c r="L65" i="25"/>
  <c r="L66" i="25"/>
  <c r="L67" i="25"/>
  <c r="L51" i="25"/>
  <c r="J60" i="25"/>
  <c r="J6" i="25"/>
  <c r="J7" i="25" s="1"/>
  <c r="D71" i="25"/>
  <c r="D6" i="25"/>
  <c r="D7" i="25" s="1"/>
  <c r="E71" i="25"/>
  <c r="E6" i="25"/>
  <c r="E7" i="25" s="1"/>
  <c r="F71" i="25"/>
  <c r="F6" i="25"/>
  <c r="F7" i="25" s="1"/>
  <c r="G71" i="25"/>
  <c r="G6" i="25"/>
  <c r="G7" i="25" s="1"/>
  <c r="H71" i="25"/>
  <c r="H6" i="25"/>
  <c r="H7" i="25" s="1"/>
  <c r="I71" i="25"/>
  <c r="I6" i="25"/>
  <c r="I7" i="25" s="1"/>
  <c r="J71" i="25"/>
  <c r="K71" i="25"/>
  <c r="K6" i="25"/>
  <c r="K7" i="25" s="1"/>
  <c r="C67" i="25"/>
  <c r="C71" i="25"/>
  <c r="D51" i="25"/>
  <c r="E51" i="25"/>
  <c r="F51" i="25"/>
  <c r="G51" i="25"/>
  <c r="H51" i="25"/>
  <c r="I51" i="25"/>
  <c r="J51" i="25"/>
  <c r="K51" i="25"/>
  <c r="D52" i="25"/>
  <c r="E52" i="25"/>
  <c r="F52" i="25"/>
  <c r="G52" i="25"/>
  <c r="H52" i="25"/>
  <c r="I52" i="25"/>
  <c r="J52" i="25"/>
  <c r="K52" i="25"/>
  <c r="D53" i="25"/>
  <c r="E53" i="25"/>
  <c r="F53" i="25"/>
  <c r="G53" i="25"/>
  <c r="H53" i="25"/>
  <c r="I53" i="25"/>
  <c r="J53" i="25"/>
  <c r="K53" i="25"/>
  <c r="D54" i="25"/>
  <c r="E54" i="25"/>
  <c r="F54" i="25"/>
  <c r="G54" i="25"/>
  <c r="H54" i="25"/>
  <c r="I54" i="25"/>
  <c r="J54" i="25"/>
  <c r="K54" i="25"/>
  <c r="D55" i="25"/>
  <c r="E55" i="25"/>
  <c r="F55" i="25"/>
  <c r="G55" i="25"/>
  <c r="H55" i="25"/>
  <c r="I55" i="25"/>
  <c r="J55" i="25"/>
  <c r="K55" i="25"/>
  <c r="D56" i="25"/>
  <c r="E56" i="25"/>
  <c r="F56" i="25"/>
  <c r="G56" i="25"/>
  <c r="H56" i="25"/>
  <c r="I56" i="25"/>
  <c r="J56" i="25"/>
  <c r="K56" i="25"/>
  <c r="D57" i="25"/>
  <c r="E57" i="25"/>
  <c r="F57" i="25"/>
  <c r="G57" i="25"/>
  <c r="H57" i="25"/>
  <c r="I57" i="25"/>
  <c r="J57" i="25"/>
  <c r="K57" i="25"/>
  <c r="D58" i="25"/>
  <c r="E58" i="25"/>
  <c r="F58" i="25"/>
  <c r="G58" i="25"/>
  <c r="H58" i="25"/>
  <c r="I58" i="25"/>
  <c r="J58" i="25"/>
  <c r="K58" i="25"/>
  <c r="D59" i="25"/>
  <c r="E59" i="25"/>
  <c r="F59" i="25"/>
  <c r="G59" i="25"/>
  <c r="H59" i="25"/>
  <c r="I59" i="25"/>
  <c r="J59" i="25"/>
  <c r="K59" i="25"/>
  <c r="D60" i="25"/>
  <c r="E60" i="25"/>
  <c r="F60" i="25"/>
  <c r="G60" i="25"/>
  <c r="H60" i="25"/>
  <c r="I60" i="25"/>
  <c r="K60" i="25"/>
  <c r="D62" i="25"/>
  <c r="E62" i="25"/>
  <c r="F62" i="25"/>
  <c r="G62" i="25"/>
  <c r="H62" i="25"/>
  <c r="I62" i="25"/>
  <c r="J62" i="25"/>
  <c r="K62" i="25"/>
  <c r="D63" i="25"/>
  <c r="E63" i="25"/>
  <c r="F63" i="25"/>
  <c r="G63" i="25"/>
  <c r="H63" i="25"/>
  <c r="I63" i="25"/>
  <c r="J63" i="25"/>
  <c r="K63" i="25"/>
  <c r="D64" i="25"/>
  <c r="E64" i="25"/>
  <c r="F64" i="25"/>
  <c r="G64" i="25"/>
  <c r="H64" i="25"/>
  <c r="I64" i="25"/>
  <c r="J64" i="25"/>
  <c r="K64" i="25"/>
  <c r="D65" i="25"/>
  <c r="E65" i="25"/>
  <c r="F65" i="25"/>
  <c r="G65" i="25"/>
  <c r="H65" i="25"/>
  <c r="I65" i="25"/>
  <c r="J65" i="25"/>
  <c r="K65" i="25"/>
  <c r="D66" i="25"/>
  <c r="E66" i="25"/>
  <c r="F66" i="25"/>
  <c r="G66" i="25"/>
  <c r="H66" i="25"/>
  <c r="I66" i="25"/>
  <c r="J66" i="25"/>
  <c r="K66" i="25"/>
  <c r="D67" i="25"/>
  <c r="E67" i="25"/>
  <c r="F67" i="25"/>
  <c r="G67" i="25"/>
  <c r="H67" i="25"/>
  <c r="I67" i="25"/>
  <c r="J67" i="25"/>
  <c r="K67" i="25"/>
  <c r="C52" i="25"/>
  <c r="C53" i="25"/>
  <c r="C54" i="25"/>
  <c r="C55" i="25"/>
  <c r="C56" i="25"/>
  <c r="C57" i="25"/>
  <c r="C58" i="25"/>
  <c r="C59" i="25"/>
  <c r="C60" i="25"/>
  <c r="C62" i="25"/>
  <c r="C63" i="25"/>
  <c r="C64" i="25"/>
  <c r="C65" i="25"/>
  <c r="C66" i="25"/>
  <c r="C51" i="25"/>
  <c r="A71" i="25"/>
  <c r="A98" i="25" s="1"/>
  <c r="M69" i="25"/>
  <c r="L69" i="25"/>
  <c r="K69" i="25"/>
  <c r="J69" i="25"/>
  <c r="I69" i="25"/>
  <c r="H69" i="25"/>
  <c r="G69" i="25"/>
  <c r="F69" i="25"/>
  <c r="E69" i="25"/>
  <c r="D69" i="25"/>
  <c r="C69" i="25"/>
  <c r="M68" i="25"/>
  <c r="L68" i="25"/>
  <c r="K68" i="25"/>
  <c r="J68" i="25"/>
  <c r="I68" i="25"/>
  <c r="H68" i="25"/>
  <c r="G68" i="25"/>
  <c r="F68" i="25"/>
  <c r="E68" i="25"/>
  <c r="D68" i="25"/>
  <c r="C68" i="25"/>
  <c r="D38" i="32"/>
  <c r="D72" i="32" s="1"/>
  <c r="D114" i="32" s="1"/>
  <c r="D39" i="32"/>
  <c r="D73" i="32" s="1"/>
  <c r="D115" i="32" s="1"/>
  <c r="D40" i="32"/>
  <c r="D74" i="32" s="1"/>
  <c r="D116" i="32" s="1"/>
  <c r="D41" i="32"/>
  <c r="D75" i="32" s="1"/>
  <c r="D117" i="32" s="1"/>
  <c r="D42" i="32"/>
  <c r="D76" i="32" s="1"/>
  <c r="D118" i="32" s="1"/>
  <c r="D43" i="32"/>
  <c r="D77" i="32" s="1"/>
  <c r="D119" i="32" s="1"/>
  <c r="D59" i="32"/>
  <c r="D86" i="32" s="1"/>
  <c r="D135" i="32" s="1"/>
  <c r="U44" i="32"/>
  <c r="U78" i="32" s="1"/>
  <c r="F37" i="32"/>
  <c r="F97" i="32" s="1"/>
  <c r="G37" i="32"/>
  <c r="G97" i="32" s="1"/>
  <c r="G113" i="32" s="1"/>
  <c r="H37" i="32"/>
  <c r="H97" i="32" s="1"/>
  <c r="H113" i="32" s="1"/>
  <c r="I37" i="32"/>
  <c r="I97" i="32" s="1"/>
  <c r="I113" i="32" s="1"/>
  <c r="J37" i="32"/>
  <c r="J97" i="32" s="1"/>
  <c r="K37" i="32"/>
  <c r="K97" i="32" s="1"/>
  <c r="L37" i="32"/>
  <c r="L97" i="32" s="1"/>
  <c r="M37" i="32"/>
  <c r="M97" i="32" s="1"/>
  <c r="N37" i="32"/>
  <c r="N97" i="32" s="1"/>
  <c r="N113" i="32" s="1"/>
  <c r="O29" i="32"/>
  <c r="O37" i="32" s="1"/>
  <c r="O97" i="32" s="1"/>
  <c r="P37" i="32"/>
  <c r="P97" i="32" s="1"/>
  <c r="P113" i="32" s="1"/>
  <c r="Q29" i="32"/>
  <c r="Q37" i="32" s="1"/>
  <c r="Q97" i="32" s="1"/>
  <c r="R37" i="32"/>
  <c r="R97" i="32" s="1"/>
  <c r="S37" i="32"/>
  <c r="S97" i="32" s="1"/>
  <c r="T37" i="32"/>
  <c r="T97" i="32" s="1"/>
  <c r="U37" i="32"/>
  <c r="U97" i="32" s="1"/>
  <c r="V37" i="32"/>
  <c r="E38" i="32"/>
  <c r="E72" i="32" s="1"/>
  <c r="F38" i="32"/>
  <c r="F72" i="32" s="1"/>
  <c r="F114" i="32" s="1"/>
  <c r="G38" i="32"/>
  <c r="G72" i="32" s="1"/>
  <c r="G114" i="32" s="1"/>
  <c r="H38" i="32"/>
  <c r="H72" i="32" s="1"/>
  <c r="I38" i="32"/>
  <c r="I72" i="32"/>
  <c r="J38" i="32"/>
  <c r="J72" i="32" s="1"/>
  <c r="K38" i="32"/>
  <c r="K72" i="32" s="1"/>
  <c r="K114" i="32" s="1"/>
  <c r="L38" i="32"/>
  <c r="L72" i="32" s="1"/>
  <c r="M38" i="32"/>
  <c r="M72" i="32" s="1"/>
  <c r="N38" i="32"/>
  <c r="N72" i="32" s="1"/>
  <c r="N114" i="32" s="1"/>
  <c r="O4" i="32"/>
  <c r="O38" i="32" s="1"/>
  <c r="O72" i="32" s="1"/>
  <c r="P38" i="32"/>
  <c r="P72" i="32" s="1"/>
  <c r="P114" i="32" s="1"/>
  <c r="Q4" i="32"/>
  <c r="Q38" i="32" s="1"/>
  <c r="Q72" i="32" s="1"/>
  <c r="R38" i="32"/>
  <c r="R72" i="32" s="1"/>
  <c r="R114" i="32" s="1"/>
  <c r="S38" i="32"/>
  <c r="S72" i="32" s="1"/>
  <c r="T38" i="32"/>
  <c r="T72" i="32" s="1"/>
  <c r="U38" i="32"/>
  <c r="U72" i="32" s="1"/>
  <c r="U114" i="32" s="1"/>
  <c r="V38" i="32"/>
  <c r="V72" i="32" s="1"/>
  <c r="V114" i="32" s="1"/>
  <c r="E39" i="32"/>
  <c r="E73" i="32" s="1"/>
  <c r="E115" i="32" s="1"/>
  <c r="F39" i="32"/>
  <c r="F73" i="32" s="1"/>
  <c r="G39" i="32"/>
  <c r="G73" i="32" s="1"/>
  <c r="H39" i="32"/>
  <c r="H73" i="32" s="1"/>
  <c r="H115" i="32" s="1"/>
  <c r="I39" i="32"/>
  <c r="I73" i="32" s="1"/>
  <c r="J39" i="32"/>
  <c r="J73" i="32" s="1"/>
  <c r="J115" i="32" s="1"/>
  <c r="K39" i="32"/>
  <c r="K73" i="32" s="1"/>
  <c r="K115" i="32" s="1"/>
  <c r="L39" i="32"/>
  <c r="L73" i="32" s="1"/>
  <c r="M39" i="32"/>
  <c r="M73" i="32" s="1"/>
  <c r="N39" i="32"/>
  <c r="N73" i="32" s="1"/>
  <c r="N115" i="32" s="1"/>
  <c r="O5" i="32"/>
  <c r="O39" i="32" s="1"/>
  <c r="O73" i="32" s="1"/>
  <c r="O115" i="32" s="1"/>
  <c r="P39" i="32"/>
  <c r="P73" i="32" s="1"/>
  <c r="P115" i="32" s="1"/>
  <c r="Q5" i="32"/>
  <c r="Q39" i="32" s="1"/>
  <c r="Q73" i="32" s="1"/>
  <c r="Q115" i="32" s="1"/>
  <c r="R39" i="32"/>
  <c r="R73" i="32" s="1"/>
  <c r="R115" i="32" s="1"/>
  <c r="S39" i="32"/>
  <c r="S73" i="32" s="1"/>
  <c r="S115" i="32" s="1"/>
  <c r="T39" i="32"/>
  <c r="T73" i="32" s="1"/>
  <c r="T115" i="32" s="1"/>
  <c r="U39" i="32"/>
  <c r="U73" i="32" s="1"/>
  <c r="U115" i="32" s="1"/>
  <c r="V39" i="32"/>
  <c r="V73" i="32" s="1"/>
  <c r="V115" i="32" s="1"/>
  <c r="E40" i="32"/>
  <c r="E74" i="32" s="1"/>
  <c r="F40" i="32"/>
  <c r="F74" i="32" s="1"/>
  <c r="G40" i="32"/>
  <c r="G74" i="32" s="1"/>
  <c r="G116" i="32" s="1"/>
  <c r="H40" i="32"/>
  <c r="H74" i="32" s="1"/>
  <c r="H116" i="32" s="1"/>
  <c r="I40" i="32"/>
  <c r="I74" i="32" s="1"/>
  <c r="I116" i="32" s="1"/>
  <c r="J40" i="32"/>
  <c r="J74" i="32" s="1"/>
  <c r="J116" i="32" s="1"/>
  <c r="K40" i="32"/>
  <c r="K74" i="32" s="1"/>
  <c r="K116" i="32" s="1"/>
  <c r="L40" i="32"/>
  <c r="L74" i="32" s="1"/>
  <c r="M40" i="32"/>
  <c r="M74" i="32" s="1"/>
  <c r="N40" i="32"/>
  <c r="N74" i="32" s="1"/>
  <c r="N116" i="32" s="1"/>
  <c r="O6" i="32"/>
  <c r="O40" i="32" s="1"/>
  <c r="O74" i="32" s="1"/>
  <c r="P40" i="32"/>
  <c r="P74" i="32" s="1"/>
  <c r="P116" i="32" s="1"/>
  <c r="Q6" i="32"/>
  <c r="Q40" i="32" s="1"/>
  <c r="Q74" i="32" s="1"/>
  <c r="Q116" i="32" s="1"/>
  <c r="R40" i="32"/>
  <c r="R74" i="32" s="1"/>
  <c r="R116" i="32" s="1"/>
  <c r="S40" i="32"/>
  <c r="S74" i="32" s="1"/>
  <c r="S116" i="32" s="1"/>
  <c r="T40" i="32"/>
  <c r="T74" i="32" s="1"/>
  <c r="T116" i="32" s="1"/>
  <c r="U40" i="32"/>
  <c r="U74" i="32" s="1"/>
  <c r="U116" i="32" s="1"/>
  <c r="V40" i="32"/>
  <c r="V74" i="32" s="1"/>
  <c r="V116" i="32" s="1"/>
  <c r="E41" i="32"/>
  <c r="E75" i="32" s="1"/>
  <c r="E117" i="32" s="1"/>
  <c r="F41" i="32"/>
  <c r="F75" i="32" s="1"/>
  <c r="F117" i="32" s="1"/>
  <c r="G41" i="32"/>
  <c r="G75" i="32" s="1"/>
  <c r="G117" i="32" s="1"/>
  <c r="H41" i="32"/>
  <c r="H75" i="32" s="1"/>
  <c r="H117" i="32" s="1"/>
  <c r="I41" i="32"/>
  <c r="I75" i="32" s="1"/>
  <c r="J41" i="32"/>
  <c r="J75" i="32" s="1"/>
  <c r="J117" i="32" s="1"/>
  <c r="K41" i="32"/>
  <c r="K75" i="32" s="1"/>
  <c r="K117" i="32" s="1"/>
  <c r="L41" i="32"/>
  <c r="L75" i="32" s="1"/>
  <c r="L117" i="32" s="1"/>
  <c r="M41" i="32"/>
  <c r="M75" i="32" s="1"/>
  <c r="M117" i="32" s="1"/>
  <c r="N41" i="32"/>
  <c r="N75" i="32" s="1"/>
  <c r="N117" i="32" s="1"/>
  <c r="O7" i="32"/>
  <c r="O41" i="32" s="1"/>
  <c r="O75" i="32" s="1"/>
  <c r="O117" i="32" s="1"/>
  <c r="P41" i="32"/>
  <c r="P75" i="32" s="1"/>
  <c r="P117" i="32" s="1"/>
  <c r="Q7" i="32"/>
  <c r="Q41" i="32" s="1"/>
  <c r="Q75" i="32" s="1"/>
  <c r="R41" i="32"/>
  <c r="R75" i="32" s="1"/>
  <c r="R117" i="32" s="1"/>
  <c r="S41" i="32"/>
  <c r="S75" i="32" s="1"/>
  <c r="S117" i="32" s="1"/>
  <c r="T41" i="32"/>
  <c r="T75" i="32" s="1"/>
  <c r="T117" i="32" s="1"/>
  <c r="U41" i="32"/>
  <c r="U75" i="32" s="1"/>
  <c r="U117" i="32" s="1"/>
  <c r="V41" i="32"/>
  <c r="V75" i="32" s="1"/>
  <c r="V117" i="32" s="1"/>
  <c r="E42" i="32"/>
  <c r="E76" i="32" s="1"/>
  <c r="E118" i="32" s="1"/>
  <c r="F42" i="32"/>
  <c r="F76" i="32" s="1"/>
  <c r="F118" i="32" s="1"/>
  <c r="G42" i="32"/>
  <c r="G76" i="32" s="1"/>
  <c r="G118" i="32" s="1"/>
  <c r="H42" i="32"/>
  <c r="H76" i="32" s="1"/>
  <c r="H118" i="32" s="1"/>
  <c r="I42" i="32"/>
  <c r="I76" i="32" s="1"/>
  <c r="J42" i="32"/>
  <c r="J76" i="32" s="1"/>
  <c r="K42" i="32"/>
  <c r="K76" i="32" s="1"/>
  <c r="K118" i="32" s="1"/>
  <c r="L42" i="32"/>
  <c r="L76" i="32" s="1"/>
  <c r="M42" i="32"/>
  <c r="M76" i="32" s="1"/>
  <c r="M118" i="32" s="1"/>
  <c r="N42" i="32"/>
  <c r="N76" i="32" s="1"/>
  <c r="N118" i="32" s="1"/>
  <c r="O8" i="32"/>
  <c r="O42" i="32" s="1"/>
  <c r="O76" i="32" s="1"/>
  <c r="O118" i="32" s="1"/>
  <c r="P42" i="32"/>
  <c r="P76" i="32" s="1"/>
  <c r="Q8" i="32"/>
  <c r="Q42" i="32" s="1"/>
  <c r="Q76" i="32" s="1"/>
  <c r="R42" i="32"/>
  <c r="R76" i="32" s="1"/>
  <c r="R118" i="32" s="1"/>
  <c r="S42" i="32"/>
  <c r="S76" i="32" s="1"/>
  <c r="S118" i="32" s="1"/>
  <c r="T42" i="32"/>
  <c r="T76" i="32" s="1"/>
  <c r="T118" i="32" s="1"/>
  <c r="U42" i="32"/>
  <c r="U76" i="32" s="1"/>
  <c r="V42" i="32"/>
  <c r="V76" i="32" s="1"/>
  <c r="E43" i="32"/>
  <c r="E77" i="32" s="1"/>
  <c r="E119" i="32" s="1"/>
  <c r="F43" i="32"/>
  <c r="F77" i="32" s="1"/>
  <c r="F119" i="32" s="1"/>
  <c r="G43" i="32"/>
  <c r="G77" i="32" s="1"/>
  <c r="H43" i="32"/>
  <c r="H77" i="32"/>
  <c r="H119" i="32" s="1"/>
  <c r="I43" i="32"/>
  <c r="I77" i="32" s="1"/>
  <c r="I119" i="32" s="1"/>
  <c r="J43" i="32"/>
  <c r="J77" i="32" s="1"/>
  <c r="J119" i="32" s="1"/>
  <c r="K43" i="32"/>
  <c r="K77" i="32" s="1"/>
  <c r="L43" i="32"/>
  <c r="L77" i="32" s="1"/>
  <c r="L119" i="32" s="1"/>
  <c r="M43" i="32"/>
  <c r="M77" i="32" s="1"/>
  <c r="M119" i="32" s="1"/>
  <c r="N43" i="32"/>
  <c r="N77" i="32" s="1"/>
  <c r="N119" i="32" s="1"/>
  <c r="O9" i="32"/>
  <c r="O43" i="32" s="1"/>
  <c r="O77" i="32" s="1"/>
  <c r="P43" i="32"/>
  <c r="P77" i="32" s="1"/>
  <c r="Q9" i="32"/>
  <c r="Q43" i="32" s="1"/>
  <c r="Q77" i="32" s="1"/>
  <c r="Q119" i="32" s="1"/>
  <c r="R43" i="32"/>
  <c r="R77" i="32" s="1"/>
  <c r="S43" i="32"/>
  <c r="S77" i="32" s="1"/>
  <c r="S119" i="32" s="1"/>
  <c r="T43" i="32"/>
  <c r="T77" i="32" s="1"/>
  <c r="T119" i="32" s="1"/>
  <c r="U43" i="32"/>
  <c r="U77" i="32" s="1"/>
  <c r="V43" i="32"/>
  <c r="V77" i="32" s="1"/>
  <c r="V119" i="32" s="1"/>
  <c r="E44" i="32"/>
  <c r="E78" i="32" s="1"/>
  <c r="E120" i="32" s="1"/>
  <c r="F44" i="32"/>
  <c r="F78" i="32" s="1"/>
  <c r="F120" i="32" s="1"/>
  <c r="G44" i="32"/>
  <c r="G78" i="32" s="1"/>
  <c r="G120" i="32" s="1"/>
  <c r="H44" i="32"/>
  <c r="H78" i="32" s="1"/>
  <c r="H120" i="32" s="1"/>
  <c r="I44" i="32"/>
  <c r="I78" i="32" s="1"/>
  <c r="I120" i="32" s="1"/>
  <c r="J44" i="32"/>
  <c r="J78" i="32" s="1"/>
  <c r="J120" i="32" s="1"/>
  <c r="K44" i="32"/>
  <c r="K78" i="32" s="1"/>
  <c r="K120" i="32" s="1"/>
  <c r="L44" i="32"/>
  <c r="L78" i="32" s="1"/>
  <c r="M44" i="32"/>
  <c r="M78" i="32" s="1"/>
  <c r="M120" i="32" s="1"/>
  <c r="N44" i="32"/>
  <c r="N78" i="32" s="1"/>
  <c r="N120" i="32" s="1"/>
  <c r="O10" i="32"/>
  <c r="P44" i="32"/>
  <c r="P78" i="32" s="1"/>
  <c r="P120" i="32" s="1"/>
  <c r="Q10" i="32"/>
  <c r="Q44" i="32" s="1"/>
  <c r="Q78" i="32" s="1"/>
  <c r="Q120" i="32" s="1"/>
  <c r="R44" i="32"/>
  <c r="R78" i="32" s="1"/>
  <c r="R120" i="32" s="1"/>
  <c r="S44" i="32"/>
  <c r="S78" i="32" s="1"/>
  <c r="S120" i="32" s="1"/>
  <c r="T44" i="32"/>
  <c r="T78" i="32" s="1"/>
  <c r="T120" i="32" s="1"/>
  <c r="V44" i="32"/>
  <c r="V78" i="32" s="1"/>
  <c r="V120" i="32" s="1"/>
  <c r="E45" i="32"/>
  <c r="E79" i="32" s="1"/>
  <c r="E121" i="32" s="1"/>
  <c r="F45" i="32"/>
  <c r="F79" i="32" s="1"/>
  <c r="F121" i="32" s="1"/>
  <c r="G45" i="32"/>
  <c r="G79" i="32" s="1"/>
  <c r="G121" i="32" s="1"/>
  <c r="H45" i="32"/>
  <c r="H79" i="32" s="1"/>
  <c r="I45" i="32"/>
  <c r="I79" i="32" s="1"/>
  <c r="I121" i="32" s="1"/>
  <c r="J45" i="32"/>
  <c r="J79" i="32" s="1"/>
  <c r="J121" i="32" s="1"/>
  <c r="K45" i="32"/>
  <c r="K79" i="32" s="1"/>
  <c r="K121" i="32" s="1"/>
  <c r="L45" i="32"/>
  <c r="L79" i="32" s="1"/>
  <c r="L121" i="32" s="1"/>
  <c r="M45" i="32"/>
  <c r="M79" i="32"/>
  <c r="M121" i="32" s="1"/>
  <c r="N45" i="32"/>
  <c r="N79" i="32" s="1"/>
  <c r="N121" i="32" s="1"/>
  <c r="O11" i="32"/>
  <c r="P45" i="32"/>
  <c r="P79" i="32" s="1"/>
  <c r="Q11" i="32"/>
  <c r="Q45" i="32" s="1"/>
  <c r="Q79" i="32" s="1"/>
  <c r="R45" i="32"/>
  <c r="R79" i="32" s="1"/>
  <c r="R121" i="32" s="1"/>
  <c r="S45" i="32"/>
  <c r="S79" i="32" s="1"/>
  <c r="T45" i="32"/>
  <c r="T79" i="32" s="1"/>
  <c r="T121" i="32" s="1"/>
  <c r="U45" i="32"/>
  <c r="U79" i="32" s="1"/>
  <c r="V45" i="32"/>
  <c r="V79" i="32" s="1"/>
  <c r="V121" i="32" s="1"/>
  <c r="E46" i="32"/>
  <c r="E80" i="32" s="1"/>
  <c r="E122" i="32" s="1"/>
  <c r="F46" i="32"/>
  <c r="F80" i="32" s="1"/>
  <c r="F122" i="32" s="1"/>
  <c r="G46" i="32"/>
  <c r="G80" i="32" s="1"/>
  <c r="H46" i="32"/>
  <c r="H80" i="32" s="1"/>
  <c r="H122" i="32" s="1"/>
  <c r="I46" i="32"/>
  <c r="I80" i="32" s="1"/>
  <c r="I122" i="32" s="1"/>
  <c r="J46" i="32"/>
  <c r="J80" i="32" s="1"/>
  <c r="J122" i="32" s="1"/>
  <c r="K46" i="32"/>
  <c r="K80" i="32" s="1"/>
  <c r="L46" i="32"/>
  <c r="L80" i="32" s="1"/>
  <c r="L122" i="32" s="1"/>
  <c r="M46" i="32"/>
  <c r="M80" i="32" s="1"/>
  <c r="M122" i="32" s="1"/>
  <c r="N46" i="32"/>
  <c r="N80" i="32" s="1"/>
  <c r="N122" i="32" s="1"/>
  <c r="O12" i="32"/>
  <c r="O46" i="32" s="1"/>
  <c r="O80" i="32" s="1"/>
  <c r="O122" i="32" s="1"/>
  <c r="P46" i="32"/>
  <c r="P80" i="32" s="1"/>
  <c r="Q12" i="32"/>
  <c r="Q46" i="32" s="1"/>
  <c r="Q80" i="32" s="1"/>
  <c r="Q122" i="32" s="1"/>
  <c r="R46" i="32"/>
  <c r="R80" i="32" s="1"/>
  <c r="S46" i="32"/>
  <c r="S80" i="32" s="1"/>
  <c r="S122" i="32" s="1"/>
  <c r="T46" i="32"/>
  <c r="T80" i="32" s="1"/>
  <c r="T122" i="32" s="1"/>
  <c r="U46" i="32"/>
  <c r="U80" i="32" s="1"/>
  <c r="U122" i="32" s="1"/>
  <c r="V46" i="32"/>
  <c r="V80" i="32" s="1"/>
  <c r="E47" i="32"/>
  <c r="E81" i="32" s="1"/>
  <c r="E123" i="32" s="1"/>
  <c r="F47" i="32"/>
  <c r="F81" i="32" s="1"/>
  <c r="F123" i="32" s="1"/>
  <c r="G47" i="32"/>
  <c r="G81" i="32" s="1"/>
  <c r="G123" i="32" s="1"/>
  <c r="H47" i="32"/>
  <c r="H81" i="32" s="1"/>
  <c r="I47" i="32"/>
  <c r="I81" i="32" s="1"/>
  <c r="J47" i="32"/>
  <c r="J81" i="32"/>
  <c r="J123" i="32" s="1"/>
  <c r="K47" i="32"/>
  <c r="K81" i="32" s="1"/>
  <c r="K123" i="32" s="1"/>
  <c r="L47" i="32"/>
  <c r="L81" i="32" s="1"/>
  <c r="M47" i="32"/>
  <c r="M81" i="32" s="1"/>
  <c r="M123" i="32" s="1"/>
  <c r="N47" i="32"/>
  <c r="N81" i="32" s="1"/>
  <c r="N123" i="32" s="1"/>
  <c r="O13" i="32"/>
  <c r="P47" i="32"/>
  <c r="P81" i="32" s="1"/>
  <c r="P123" i="32" s="1"/>
  <c r="Q13" i="32"/>
  <c r="Q47" i="32" s="1"/>
  <c r="Q81" i="32" s="1"/>
  <c r="Q123" i="32" s="1"/>
  <c r="R47" i="32"/>
  <c r="R81" i="32" s="1"/>
  <c r="R123" i="32" s="1"/>
  <c r="S47" i="32"/>
  <c r="S81" i="32" s="1"/>
  <c r="T47" i="32"/>
  <c r="T81" i="32" s="1"/>
  <c r="T123" i="32" s="1"/>
  <c r="U47" i="32"/>
  <c r="U81" i="32" s="1"/>
  <c r="U123" i="32" s="1"/>
  <c r="V47" i="32"/>
  <c r="V81" i="32" s="1"/>
  <c r="V123" i="32" s="1"/>
  <c r="E48" i="32"/>
  <c r="E82" i="32" s="1"/>
  <c r="F48" i="32"/>
  <c r="F82" i="32" s="1"/>
  <c r="F124" i="32" s="1"/>
  <c r="G48" i="32"/>
  <c r="G82" i="32" s="1"/>
  <c r="G124" i="32" s="1"/>
  <c r="H48" i="32"/>
  <c r="H82" i="32" s="1"/>
  <c r="H124" i="32" s="1"/>
  <c r="I48" i="32"/>
  <c r="I82" i="32" s="1"/>
  <c r="I124" i="32" s="1"/>
  <c r="J48" i="32"/>
  <c r="J82" i="32" s="1"/>
  <c r="J124" i="32" s="1"/>
  <c r="K48" i="32"/>
  <c r="K82" i="32" s="1"/>
  <c r="K124" i="32" s="1"/>
  <c r="L48" i="32"/>
  <c r="L82" i="32" s="1"/>
  <c r="L124" i="32" s="1"/>
  <c r="M48" i="32"/>
  <c r="M82" i="32" s="1"/>
  <c r="N48" i="32"/>
  <c r="N82" i="32" s="1"/>
  <c r="N124" i="32" s="1"/>
  <c r="O14" i="32"/>
  <c r="O48" i="32" s="1"/>
  <c r="O82" i="32" s="1"/>
  <c r="O124" i="32" s="1"/>
  <c r="P48" i="32"/>
  <c r="P82" i="32" s="1"/>
  <c r="P124" i="32" s="1"/>
  <c r="Q14" i="32"/>
  <c r="Q48" i="32" s="1"/>
  <c r="Q82" i="32" s="1"/>
  <c r="Q124" i="32" s="1"/>
  <c r="R48" i="32"/>
  <c r="R82" i="32" s="1"/>
  <c r="S48" i="32"/>
  <c r="S82" i="32" s="1"/>
  <c r="T48" i="32"/>
  <c r="T82" i="32" s="1"/>
  <c r="U48" i="32"/>
  <c r="U82" i="32" s="1"/>
  <c r="V48" i="32"/>
  <c r="V82" i="32" s="1"/>
  <c r="V124" i="32" s="1"/>
  <c r="E49" i="32"/>
  <c r="E83" i="32" s="1"/>
  <c r="F49" i="32"/>
  <c r="F83" i="32" s="1"/>
  <c r="F125" i="32" s="1"/>
  <c r="G49" i="32"/>
  <c r="G83" i="32" s="1"/>
  <c r="H49" i="32"/>
  <c r="H83" i="32" s="1"/>
  <c r="H125" i="32" s="1"/>
  <c r="I49" i="32"/>
  <c r="I83" i="32" s="1"/>
  <c r="J49" i="32"/>
  <c r="J83" i="32" s="1"/>
  <c r="J125" i="32" s="1"/>
  <c r="K49" i="32"/>
  <c r="K83" i="32" s="1"/>
  <c r="K125" i="32" s="1"/>
  <c r="L49" i="32"/>
  <c r="L83" i="32" s="1"/>
  <c r="L125" i="32" s="1"/>
  <c r="M49" i="32"/>
  <c r="M83" i="32" s="1"/>
  <c r="N49" i="32"/>
  <c r="N83" i="32" s="1"/>
  <c r="N125" i="32" s="1"/>
  <c r="O15" i="32"/>
  <c r="O49" i="32" s="1"/>
  <c r="O83" i="32" s="1"/>
  <c r="P49" i="32"/>
  <c r="P83" i="32" s="1"/>
  <c r="P125" i="32" s="1"/>
  <c r="Q15" i="32"/>
  <c r="Q49" i="32" s="1"/>
  <c r="Q83" i="32" s="1"/>
  <c r="Q125" i="32" s="1"/>
  <c r="R49" i="32"/>
  <c r="R83" i="32" s="1"/>
  <c r="S49" i="32"/>
  <c r="S83" i="32" s="1"/>
  <c r="S125" i="32" s="1"/>
  <c r="T49" i="32"/>
  <c r="T83" i="32" s="1"/>
  <c r="T125" i="32" s="1"/>
  <c r="U49" i="32"/>
  <c r="U83" i="32" s="1"/>
  <c r="U125" i="32" s="1"/>
  <c r="V49" i="32"/>
  <c r="V83" i="32" s="1"/>
  <c r="V125" i="32" s="1"/>
  <c r="E50" i="32"/>
  <c r="E84" i="32" s="1"/>
  <c r="F50" i="32"/>
  <c r="F84" i="32" s="1"/>
  <c r="F126" i="32" s="1"/>
  <c r="G50" i="32"/>
  <c r="G84" i="32" s="1"/>
  <c r="G126" i="32" s="1"/>
  <c r="H50" i="32"/>
  <c r="H84" i="32" s="1"/>
  <c r="I50" i="32"/>
  <c r="I84" i="32" s="1"/>
  <c r="I126" i="32" s="1"/>
  <c r="J50" i="32"/>
  <c r="J84" i="32" s="1"/>
  <c r="J126" i="32" s="1"/>
  <c r="K50" i="32"/>
  <c r="K84" i="32" s="1"/>
  <c r="L50" i="32"/>
  <c r="L84" i="32" s="1"/>
  <c r="L126" i="32" s="1"/>
  <c r="M50" i="32"/>
  <c r="M84" i="32" s="1"/>
  <c r="N50" i="32"/>
  <c r="N84" i="32" s="1"/>
  <c r="N126" i="32" s="1"/>
  <c r="O16" i="32"/>
  <c r="O50" i="32" s="1"/>
  <c r="O84" i="32" s="1"/>
  <c r="O126" i="32" s="1"/>
  <c r="P50" i="32"/>
  <c r="P84" i="32" s="1"/>
  <c r="P126" i="32" s="1"/>
  <c r="Q16" i="32"/>
  <c r="Q50" i="32" s="1"/>
  <c r="Q84" i="32" s="1"/>
  <c r="Q126" i="32" s="1"/>
  <c r="R50" i="32"/>
  <c r="R84" i="32" s="1"/>
  <c r="S50" i="32"/>
  <c r="S84" i="32" s="1"/>
  <c r="T50" i="32"/>
  <c r="T84" i="32" s="1"/>
  <c r="T126" i="32" s="1"/>
  <c r="U50" i="32"/>
  <c r="U84" i="32" s="1"/>
  <c r="V50" i="32"/>
  <c r="V84" i="32" s="1"/>
  <c r="E51" i="32"/>
  <c r="E85" i="32" s="1"/>
  <c r="E127" i="32" s="1"/>
  <c r="F51" i="32"/>
  <c r="F85" i="32" s="1"/>
  <c r="F127" i="32" s="1"/>
  <c r="G51" i="32"/>
  <c r="G85" i="32" s="1"/>
  <c r="G127" i="32" s="1"/>
  <c r="H51" i="32"/>
  <c r="H85" i="32" s="1"/>
  <c r="H127" i="32" s="1"/>
  <c r="I51" i="32"/>
  <c r="I85" i="32" s="1"/>
  <c r="J51" i="32"/>
  <c r="J85" i="32" s="1"/>
  <c r="J127" i="32" s="1"/>
  <c r="K51" i="32"/>
  <c r="K85" i="32" s="1"/>
  <c r="L51" i="32"/>
  <c r="L85" i="32" s="1"/>
  <c r="L127" i="32" s="1"/>
  <c r="M51" i="32"/>
  <c r="M85" i="32" s="1"/>
  <c r="N51" i="32"/>
  <c r="N85" i="32" s="1"/>
  <c r="O17" i="32"/>
  <c r="O51" i="32" s="1"/>
  <c r="O85" i="32" s="1"/>
  <c r="O127" i="32" s="1"/>
  <c r="P51" i="32"/>
  <c r="P85" i="32" s="1"/>
  <c r="P127" i="32" s="1"/>
  <c r="Q17" i="32"/>
  <c r="Q51" i="32" s="1"/>
  <c r="Q85" i="32" s="1"/>
  <c r="Q127" i="32" s="1"/>
  <c r="R51" i="32"/>
  <c r="R85" i="32" s="1"/>
  <c r="S51" i="32"/>
  <c r="S85" i="32" s="1"/>
  <c r="S127" i="32" s="1"/>
  <c r="T51" i="32"/>
  <c r="T85" i="32" s="1"/>
  <c r="T127" i="32" s="1"/>
  <c r="U51" i="32"/>
  <c r="U85" i="32" s="1"/>
  <c r="U127" i="32" s="1"/>
  <c r="V51" i="32"/>
  <c r="V85" i="32" s="1"/>
  <c r="V127" i="32" s="1"/>
  <c r="E52" i="32"/>
  <c r="E91" i="32" s="1"/>
  <c r="F52" i="32"/>
  <c r="F91" i="32" s="1"/>
  <c r="G52" i="32"/>
  <c r="G91" i="32" s="1"/>
  <c r="G128" i="32" s="1"/>
  <c r="H52" i="32"/>
  <c r="H91" i="32" s="1"/>
  <c r="H128" i="32" s="1"/>
  <c r="I52" i="32"/>
  <c r="I91" i="32" s="1"/>
  <c r="J52" i="32"/>
  <c r="J91" i="32" s="1"/>
  <c r="J128" i="32" s="1"/>
  <c r="K52" i="32"/>
  <c r="K91" i="32" s="1"/>
  <c r="K128" i="32" s="1"/>
  <c r="L52" i="32"/>
  <c r="L91" i="32" s="1"/>
  <c r="L128" i="32" s="1"/>
  <c r="M52" i="32"/>
  <c r="M91" i="32" s="1"/>
  <c r="N52" i="32"/>
  <c r="N91" i="32" s="1"/>
  <c r="O23" i="32"/>
  <c r="O52" i="32" s="1"/>
  <c r="O91" i="32" s="1"/>
  <c r="P52" i="32"/>
  <c r="P91" i="32" s="1"/>
  <c r="P128" i="32" s="1"/>
  <c r="Q23" i="32"/>
  <c r="Q52" i="32" s="1"/>
  <c r="Q91" i="32" s="1"/>
  <c r="R52" i="32"/>
  <c r="R91" i="32" s="1"/>
  <c r="R128" i="32" s="1"/>
  <c r="S52" i="32"/>
  <c r="S91" i="32" s="1"/>
  <c r="T52" i="32"/>
  <c r="T91" i="32" s="1"/>
  <c r="U52" i="32"/>
  <c r="U91" i="32" s="1"/>
  <c r="V52" i="32"/>
  <c r="V91" i="32" s="1"/>
  <c r="E53" i="32"/>
  <c r="E92" i="32" s="1"/>
  <c r="E129" i="32" s="1"/>
  <c r="F53" i="32"/>
  <c r="F92" i="32" s="1"/>
  <c r="G53" i="32"/>
  <c r="G92" i="32" s="1"/>
  <c r="H53" i="32"/>
  <c r="H92" i="32" s="1"/>
  <c r="H129" i="32" s="1"/>
  <c r="I53" i="32"/>
  <c r="I92" i="32" s="1"/>
  <c r="I129" i="32" s="1"/>
  <c r="J53" i="32"/>
  <c r="J92" i="32" s="1"/>
  <c r="J129" i="32" s="1"/>
  <c r="K53" i="32"/>
  <c r="K92" i="32" s="1"/>
  <c r="L53" i="32"/>
  <c r="L92" i="32" s="1"/>
  <c r="M53" i="32"/>
  <c r="M92" i="32" s="1"/>
  <c r="M129" i="32" s="1"/>
  <c r="N53" i="32"/>
  <c r="N92" i="32" s="1"/>
  <c r="N129" i="32" s="1"/>
  <c r="O24" i="32"/>
  <c r="O53" i="32" s="1"/>
  <c r="O92" i="32" s="1"/>
  <c r="P53" i="32"/>
  <c r="P92" i="32" s="1"/>
  <c r="P129" i="32" s="1"/>
  <c r="Q24" i="32"/>
  <c r="Q53" i="32" s="1"/>
  <c r="Q92" i="32" s="1"/>
  <c r="Q129" i="32" s="1"/>
  <c r="R53" i="32"/>
  <c r="R92" i="32" s="1"/>
  <c r="R129" i="32" s="1"/>
  <c r="S53" i="32"/>
  <c r="S92" i="32" s="1"/>
  <c r="T53" i="32"/>
  <c r="T92" i="32" s="1"/>
  <c r="U53" i="32"/>
  <c r="U92" i="32" s="1"/>
  <c r="V53" i="32"/>
  <c r="V92" i="32" s="1"/>
  <c r="V129" i="32" s="1"/>
  <c r="E54" i="32"/>
  <c r="E93" i="32" s="1"/>
  <c r="E130" i="32" s="1"/>
  <c r="F54" i="32"/>
  <c r="F93" i="32" s="1"/>
  <c r="F130" i="32" s="1"/>
  <c r="G54" i="32"/>
  <c r="G93" i="32" s="1"/>
  <c r="G130" i="32" s="1"/>
  <c r="H54" i="32"/>
  <c r="H93" i="32" s="1"/>
  <c r="H130" i="32" s="1"/>
  <c r="I54" i="32"/>
  <c r="I93" i="32" s="1"/>
  <c r="J54" i="32"/>
  <c r="J93" i="32" s="1"/>
  <c r="K54" i="32"/>
  <c r="K93" i="32" s="1"/>
  <c r="L54" i="32"/>
  <c r="L93" i="32" s="1"/>
  <c r="L130" i="32" s="1"/>
  <c r="M54" i="32"/>
  <c r="M93" i="32" s="1"/>
  <c r="M130" i="32" s="1"/>
  <c r="N54" i="32"/>
  <c r="N93" i="32" s="1"/>
  <c r="N130" i="32" s="1"/>
  <c r="O25" i="32"/>
  <c r="O54" i="32" s="1"/>
  <c r="O93" i="32" s="1"/>
  <c r="P54" i="32"/>
  <c r="P93" i="32" s="1"/>
  <c r="P130" i="32" s="1"/>
  <c r="Q25" i="32"/>
  <c r="Q54" i="32" s="1"/>
  <c r="Q93" i="32" s="1"/>
  <c r="Q130" i="32" s="1"/>
  <c r="R54" i="32"/>
  <c r="R93" i="32"/>
  <c r="R130" i="32" s="1"/>
  <c r="S54" i="32"/>
  <c r="S93" i="32" s="1"/>
  <c r="T54" i="32"/>
  <c r="T93" i="32" s="1"/>
  <c r="U54" i="32"/>
  <c r="U93" i="32" s="1"/>
  <c r="U130" i="32" s="1"/>
  <c r="V54" i="32"/>
  <c r="V93" i="32" s="1"/>
  <c r="E55" i="32"/>
  <c r="E94" i="32" s="1"/>
  <c r="E131" i="32" s="1"/>
  <c r="F55" i="32"/>
  <c r="F94" i="32" s="1"/>
  <c r="F131" i="32" s="1"/>
  <c r="G55" i="32"/>
  <c r="G94" i="32" s="1"/>
  <c r="H55" i="32"/>
  <c r="H94" i="32" s="1"/>
  <c r="I55" i="32"/>
  <c r="I94" i="32" s="1"/>
  <c r="I131" i="32" s="1"/>
  <c r="J55" i="32"/>
  <c r="J94" i="32" s="1"/>
  <c r="K55" i="32"/>
  <c r="K94" i="32" s="1"/>
  <c r="K131" i="32" s="1"/>
  <c r="L55" i="32"/>
  <c r="L94" i="32" s="1"/>
  <c r="L131" i="32" s="1"/>
  <c r="M55" i="32"/>
  <c r="M94" i="32" s="1"/>
  <c r="N55" i="32"/>
  <c r="N94" i="32" s="1"/>
  <c r="O26" i="32"/>
  <c r="O55" i="32" s="1"/>
  <c r="O94" i="32" s="1"/>
  <c r="O131" i="32" s="1"/>
  <c r="P55" i="32"/>
  <c r="P94" i="32" s="1"/>
  <c r="P131" i="32" s="1"/>
  <c r="Q26" i="32"/>
  <c r="Q55" i="32" s="1"/>
  <c r="Q94" i="32" s="1"/>
  <c r="Q131" i="32" s="1"/>
  <c r="R55" i="32"/>
  <c r="R94" i="32" s="1"/>
  <c r="R131" i="32" s="1"/>
  <c r="S55" i="32"/>
  <c r="S94" i="32" s="1"/>
  <c r="S131" i="32" s="1"/>
  <c r="T55" i="32"/>
  <c r="T94" i="32" s="1"/>
  <c r="U55" i="32"/>
  <c r="U94" i="32" s="1"/>
  <c r="U131" i="32" s="1"/>
  <c r="V55" i="32"/>
  <c r="V94" i="32" s="1"/>
  <c r="E56" i="32"/>
  <c r="E95" i="32" s="1"/>
  <c r="E132" i="32" s="1"/>
  <c r="F56" i="32"/>
  <c r="F95" i="32" s="1"/>
  <c r="G56" i="32"/>
  <c r="G95" i="32" s="1"/>
  <c r="G132" i="32" s="1"/>
  <c r="H56" i="32"/>
  <c r="H95" i="32" s="1"/>
  <c r="H132" i="32" s="1"/>
  <c r="I56" i="32"/>
  <c r="I95" i="32" s="1"/>
  <c r="I132" i="32" s="1"/>
  <c r="J56" i="32"/>
  <c r="J95" i="32" s="1"/>
  <c r="K56" i="32"/>
  <c r="K95" i="32" s="1"/>
  <c r="K132" i="32" s="1"/>
  <c r="L56" i="32"/>
  <c r="L95" i="32" s="1"/>
  <c r="M56" i="32"/>
  <c r="M95" i="32" s="1"/>
  <c r="M132" i="32" s="1"/>
  <c r="N56" i="32"/>
  <c r="N95" i="32" s="1"/>
  <c r="O27" i="32"/>
  <c r="O56" i="32" s="1"/>
  <c r="O95" i="32" s="1"/>
  <c r="O132" i="32" s="1"/>
  <c r="P56" i="32"/>
  <c r="P95" i="32" s="1"/>
  <c r="P132" i="32" s="1"/>
  <c r="Q27" i="32"/>
  <c r="Q56" i="32" s="1"/>
  <c r="Q95" i="32" s="1"/>
  <c r="Q132" i="32" s="1"/>
  <c r="R56" i="32"/>
  <c r="R95" i="32" s="1"/>
  <c r="S56" i="32"/>
  <c r="S95" i="32" s="1"/>
  <c r="S132" i="32" s="1"/>
  <c r="T56" i="32"/>
  <c r="T95" i="32" s="1"/>
  <c r="T132" i="32" s="1"/>
  <c r="U56" i="32"/>
  <c r="U95" i="32" s="1"/>
  <c r="V56" i="32"/>
  <c r="V95" i="32" s="1"/>
  <c r="V132" i="32" s="1"/>
  <c r="E57" i="32"/>
  <c r="E98" i="32" s="1"/>
  <c r="E133" i="32" s="1"/>
  <c r="F57" i="32"/>
  <c r="F98" i="32" s="1"/>
  <c r="F133" i="32" s="1"/>
  <c r="G57" i="32"/>
  <c r="G98" i="32" s="1"/>
  <c r="G133" i="32" s="1"/>
  <c r="H57" i="32"/>
  <c r="H98" i="32" s="1"/>
  <c r="H133" i="32" s="1"/>
  <c r="I57" i="32"/>
  <c r="I98" i="32" s="1"/>
  <c r="I133" i="32" s="1"/>
  <c r="J57" i="32"/>
  <c r="J98" i="32" s="1"/>
  <c r="K57" i="32"/>
  <c r="K98" i="32" s="1"/>
  <c r="K133" i="32" s="1"/>
  <c r="L57" i="32"/>
  <c r="L98" i="32" s="1"/>
  <c r="L133" i="32" s="1"/>
  <c r="M57" i="32"/>
  <c r="M98" i="32" s="1"/>
  <c r="M133" i="32" s="1"/>
  <c r="N57" i="32"/>
  <c r="N98" i="32" s="1"/>
  <c r="O30" i="32"/>
  <c r="O57" i="32" s="1"/>
  <c r="O98" i="32" s="1"/>
  <c r="O133" i="32" s="1"/>
  <c r="P57" i="32"/>
  <c r="P98" i="32" s="1"/>
  <c r="P133" i="32" s="1"/>
  <c r="Q30" i="32"/>
  <c r="Q57" i="32" s="1"/>
  <c r="Q98" i="32" s="1"/>
  <c r="Q133" i="32" s="1"/>
  <c r="R57" i="32"/>
  <c r="R98" i="32" s="1"/>
  <c r="S57" i="32"/>
  <c r="S98" i="32" s="1"/>
  <c r="S133" i="32" s="1"/>
  <c r="T57" i="32"/>
  <c r="T98" i="32" s="1"/>
  <c r="T133" i="32" s="1"/>
  <c r="U57" i="32"/>
  <c r="U98" i="32" s="1"/>
  <c r="V57" i="32"/>
  <c r="V98" i="32" s="1"/>
  <c r="V133" i="32" s="1"/>
  <c r="E58" i="32"/>
  <c r="E99" i="32" s="1"/>
  <c r="F58" i="32"/>
  <c r="F99" i="32" s="1"/>
  <c r="F134" i="32" s="1"/>
  <c r="G58" i="32"/>
  <c r="G99" i="32" s="1"/>
  <c r="G134" i="32" s="1"/>
  <c r="H58" i="32"/>
  <c r="H99" i="32" s="1"/>
  <c r="I58" i="32"/>
  <c r="I99" i="32" s="1"/>
  <c r="I134" i="32" s="1"/>
  <c r="J58" i="32"/>
  <c r="J99" i="32" s="1"/>
  <c r="J134" i="32" s="1"/>
  <c r="K58" i="32"/>
  <c r="K99" i="32" s="1"/>
  <c r="L58" i="32"/>
  <c r="L99" i="32" s="1"/>
  <c r="L134" i="32" s="1"/>
  <c r="M58" i="32"/>
  <c r="M99" i="32" s="1"/>
  <c r="N58" i="32"/>
  <c r="N99" i="32" s="1"/>
  <c r="N134" i="32" s="1"/>
  <c r="O31" i="32"/>
  <c r="O58" i="32" s="1"/>
  <c r="O99" i="32" s="1"/>
  <c r="O134" i="32" s="1"/>
  <c r="P58" i="32"/>
  <c r="P99" i="32" s="1"/>
  <c r="P134" i="32" s="1"/>
  <c r="Q31" i="32"/>
  <c r="Q58" i="32" s="1"/>
  <c r="Q99" i="32" s="1"/>
  <c r="Q134" i="32" s="1"/>
  <c r="R58" i="32"/>
  <c r="R99" i="32" s="1"/>
  <c r="S58" i="32"/>
  <c r="S99" i="32" s="1"/>
  <c r="S134" i="32" s="1"/>
  <c r="T58" i="32"/>
  <c r="T99" i="32" s="1"/>
  <c r="U58" i="32"/>
  <c r="U99" i="32" s="1"/>
  <c r="V58" i="32"/>
  <c r="V99" i="32" s="1"/>
  <c r="E59" i="32"/>
  <c r="E86" i="32" s="1"/>
  <c r="E135" i="32" s="1"/>
  <c r="F59" i="32"/>
  <c r="F86" i="32" s="1"/>
  <c r="F135" i="32" s="1"/>
  <c r="G59" i="32"/>
  <c r="G86" i="32" s="1"/>
  <c r="G135" i="32" s="1"/>
  <c r="H59" i="32"/>
  <c r="H86" i="32" s="1"/>
  <c r="I59" i="32"/>
  <c r="I86" i="32" s="1"/>
  <c r="I135" i="32" s="1"/>
  <c r="J59" i="32"/>
  <c r="J86" i="32" s="1"/>
  <c r="K59" i="32"/>
  <c r="K86" i="32" s="1"/>
  <c r="L59" i="32"/>
  <c r="L86" i="32" s="1"/>
  <c r="L135" i="32" s="1"/>
  <c r="M59" i="32"/>
  <c r="M86" i="32" s="1"/>
  <c r="M135" i="32" s="1"/>
  <c r="N59" i="32"/>
  <c r="N86" i="32" s="1"/>
  <c r="O18" i="32"/>
  <c r="O59" i="32" s="1"/>
  <c r="O86" i="32" s="1"/>
  <c r="O135" i="32" s="1"/>
  <c r="P59" i="32"/>
  <c r="P86" i="32" s="1"/>
  <c r="Q18" i="32"/>
  <c r="Q59" i="32" s="1"/>
  <c r="Q86" i="32" s="1"/>
  <c r="Q135" i="32" s="1"/>
  <c r="R59" i="32"/>
  <c r="R86" i="32" s="1"/>
  <c r="S59" i="32"/>
  <c r="S86" i="32" s="1"/>
  <c r="T59" i="32"/>
  <c r="T86" i="32" s="1"/>
  <c r="T135" i="32" s="1"/>
  <c r="U59" i="32"/>
  <c r="U86" i="32" s="1"/>
  <c r="U135" i="32" s="1"/>
  <c r="V59" i="32"/>
  <c r="V86" i="32" s="1"/>
  <c r="E60" i="32"/>
  <c r="E100" i="32" s="1"/>
  <c r="E136" i="32" s="1"/>
  <c r="F60" i="32"/>
  <c r="F100" i="32" s="1"/>
  <c r="G60" i="32"/>
  <c r="G100" i="32" s="1"/>
  <c r="G136" i="32" s="1"/>
  <c r="H60" i="32"/>
  <c r="H100" i="32" s="1"/>
  <c r="I60" i="32"/>
  <c r="I100" i="32" s="1"/>
  <c r="I136" i="32" s="1"/>
  <c r="J60" i="32"/>
  <c r="J100" i="32" s="1"/>
  <c r="J136" i="32" s="1"/>
  <c r="K60" i="32"/>
  <c r="K100" i="32" s="1"/>
  <c r="L60" i="32"/>
  <c r="L100" i="32" s="1"/>
  <c r="M60" i="32"/>
  <c r="M100" i="32" s="1"/>
  <c r="N60" i="32"/>
  <c r="N100" i="32" s="1"/>
  <c r="N136" i="32" s="1"/>
  <c r="O32" i="32"/>
  <c r="O60" i="32" s="1"/>
  <c r="O100" i="32" s="1"/>
  <c r="O136" i="32" s="1"/>
  <c r="P60" i="32"/>
  <c r="P100" i="32" s="1"/>
  <c r="P136" i="32" s="1"/>
  <c r="Q32" i="32"/>
  <c r="Q60" i="32" s="1"/>
  <c r="Q100" i="32" s="1"/>
  <c r="Q136" i="32" s="1"/>
  <c r="R60" i="32"/>
  <c r="R100" i="32" s="1"/>
  <c r="R136" i="32" s="1"/>
  <c r="S60" i="32"/>
  <c r="S100" i="32" s="1"/>
  <c r="T60" i="32"/>
  <c r="T100" i="32" s="1"/>
  <c r="T136" i="32" s="1"/>
  <c r="U60" i="32"/>
  <c r="U100" i="32" s="1"/>
  <c r="V60" i="32"/>
  <c r="V100" i="32" s="1"/>
  <c r="V136" i="32" s="1"/>
  <c r="E61" i="32"/>
  <c r="E101" i="32" s="1"/>
  <c r="E137" i="32" s="1"/>
  <c r="F61" i="32"/>
  <c r="F101" i="32" s="1"/>
  <c r="G61" i="32"/>
  <c r="G101" i="32" s="1"/>
  <c r="H61" i="32"/>
  <c r="H101" i="32" s="1"/>
  <c r="H137" i="32" s="1"/>
  <c r="I61" i="32"/>
  <c r="I101" i="32" s="1"/>
  <c r="I137" i="32" s="1"/>
  <c r="J61" i="32"/>
  <c r="J101" i="32" s="1"/>
  <c r="J137" i="32" s="1"/>
  <c r="K61" i="32"/>
  <c r="K101" i="32" s="1"/>
  <c r="K137" i="32" s="1"/>
  <c r="L61" i="32"/>
  <c r="L101" i="32" s="1"/>
  <c r="L137" i="32" s="1"/>
  <c r="M61" i="32"/>
  <c r="M101" i="32" s="1"/>
  <c r="M137" i="32" s="1"/>
  <c r="N61" i="32"/>
  <c r="N101" i="32" s="1"/>
  <c r="O33" i="32"/>
  <c r="O61" i="32" s="1"/>
  <c r="O101" i="32" s="1"/>
  <c r="O137" i="32" s="1"/>
  <c r="P61" i="32"/>
  <c r="P101" i="32" s="1"/>
  <c r="P137" i="32" s="1"/>
  <c r="Q33" i="32"/>
  <c r="Q61" i="32" s="1"/>
  <c r="Q101" i="32" s="1"/>
  <c r="Q137" i="32" s="1"/>
  <c r="R61" i="32"/>
  <c r="R101" i="32" s="1"/>
  <c r="S61" i="32"/>
  <c r="S101" i="32" s="1"/>
  <c r="S137" i="32" s="1"/>
  <c r="T61" i="32"/>
  <c r="T101" i="32" s="1"/>
  <c r="T137" i="32" s="1"/>
  <c r="U61" i="32"/>
  <c r="U101" i="32" s="1"/>
  <c r="U137" i="32" s="1"/>
  <c r="V61" i="32"/>
  <c r="V101" i="32" s="1"/>
  <c r="E62" i="32"/>
  <c r="E102" i="32" s="1"/>
  <c r="E138" i="32" s="1"/>
  <c r="F62" i="32"/>
  <c r="F102" i="32" s="1"/>
  <c r="F138" i="32" s="1"/>
  <c r="G62" i="32"/>
  <c r="G102" i="32" s="1"/>
  <c r="G138" i="32" s="1"/>
  <c r="H62" i="32"/>
  <c r="H102" i="32" s="1"/>
  <c r="H138" i="32" s="1"/>
  <c r="I62" i="32"/>
  <c r="I102" i="32" s="1"/>
  <c r="I138" i="32" s="1"/>
  <c r="J62" i="32"/>
  <c r="J102" i="32" s="1"/>
  <c r="J138" i="32" s="1"/>
  <c r="K62" i="32"/>
  <c r="K102" i="32" s="1"/>
  <c r="K138" i="32" s="1"/>
  <c r="L62" i="32"/>
  <c r="L102" i="32" s="1"/>
  <c r="L138" i="32" s="1"/>
  <c r="M62" i="32"/>
  <c r="M102" i="32" s="1"/>
  <c r="M138" i="32" s="1"/>
  <c r="N62" i="32"/>
  <c r="N102" i="32" s="1"/>
  <c r="O34" i="32"/>
  <c r="O62" i="32" s="1"/>
  <c r="O102" i="32" s="1"/>
  <c r="O138" i="32" s="1"/>
  <c r="P62" i="32"/>
  <c r="P102" i="32" s="1"/>
  <c r="P138" i="32" s="1"/>
  <c r="Q34" i="32"/>
  <c r="Q62" i="32" s="1"/>
  <c r="Q102" i="32" s="1"/>
  <c r="Q138" i="32" s="1"/>
  <c r="R62" i="32"/>
  <c r="R102" i="32" s="1"/>
  <c r="R138" i="32" s="1"/>
  <c r="S62" i="32"/>
  <c r="S102" i="32" s="1"/>
  <c r="S138" i="32" s="1"/>
  <c r="T62" i="32"/>
  <c r="T102" i="32" s="1"/>
  <c r="U62" i="32"/>
  <c r="U102" i="32" s="1"/>
  <c r="U138" i="32" s="1"/>
  <c r="V62" i="32"/>
  <c r="V102" i="32" s="1"/>
  <c r="V138" i="32" s="1"/>
  <c r="E63" i="32"/>
  <c r="E87" i="32" s="1"/>
  <c r="E139" i="32" s="1"/>
  <c r="F63" i="32"/>
  <c r="F87" i="32" s="1"/>
  <c r="F139" i="32" s="1"/>
  <c r="G63" i="32"/>
  <c r="G87" i="32" s="1"/>
  <c r="G139" i="32" s="1"/>
  <c r="H63" i="32"/>
  <c r="H87" i="32" s="1"/>
  <c r="H139" i="32" s="1"/>
  <c r="I63" i="32"/>
  <c r="I87" i="32" s="1"/>
  <c r="I139" i="32" s="1"/>
  <c r="J63" i="32"/>
  <c r="J87" i="32" s="1"/>
  <c r="K63" i="32"/>
  <c r="K87" i="32" s="1"/>
  <c r="K139" i="32" s="1"/>
  <c r="L63" i="32"/>
  <c r="L87" i="32" s="1"/>
  <c r="L139" i="32" s="1"/>
  <c r="M63" i="32"/>
  <c r="M87" i="32" s="1"/>
  <c r="M139" i="32" s="1"/>
  <c r="N63" i="32"/>
  <c r="N87" i="32" s="1"/>
  <c r="N139" i="32" s="1"/>
  <c r="O19" i="32"/>
  <c r="O63" i="32" s="1"/>
  <c r="O87" i="32" s="1"/>
  <c r="O139" i="32" s="1"/>
  <c r="P63" i="32"/>
  <c r="P87" i="32" s="1"/>
  <c r="Q19" i="32"/>
  <c r="Q63" i="32" s="1"/>
  <c r="Q87" i="32" s="1"/>
  <c r="Q139" i="32" s="1"/>
  <c r="R63" i="32"/>
  <c r="R87" i="32" s="1"/>
  <c r="R139" i="32" s="1"/>
  <c r="S63" i="32"/>
  <c r="S87" i="32" s="1"/>
  <c r="S139" i="32" s="1"/>
  <c r="T63" i="32"/>
  <c r="T87" i="32" s="1"/>
  <c r="T139" i="32" s="1"/>
  <c r="U63" i="32"/>
  <c r="U87" i="32" s="1"/>
  <c r="V63" i="32"/>
  <c r="V87" i="32" s="1"/>
  <c r="V139" i="32" s="1"/>
  <c r="E64" i="32"/>
  <c r="E88" i="32" s="1"/>
  <c r="E140" i="32" s="1"/>
  <c r="F64" i="32"/>
  <c r="F88" i="32" s="1"/>
  <c r="F140" i="32" s="1"/>
  <c r="G64" i="32"/>
  <c r="G88" i="32" s="1"/>
  <c r="G140" i="32" s="1"/>
  <c r="H64" i="32"/>
  <c r="H88" i="32" s="1"/>
  <c r="H140" i="32" s="1"/>
  <c r="I64" i="32"/>
  <c r="I88" i="32" s="1"/>
  <c r="I140" i="32" s="1"/>
  <c r="J64" i="32"/>
  <c r="J88" i="32" s="1"/>
  <c r="J140" i="32" s="1"/>
  <c r="K64" i="32"/>
  <c r="K88" i="32" s="1"/>
  <c r="K140" i="32" s="1"/>
  <c r="L64" i="32"/>
  <c r="L88" i="32" s="1"/>
  <c r="L140" i="32" s="1"/>
  <c r="M64" i="32"/>
  <c r="M88" i="32" s="1"/>
  <c r="M140" i="32" s="1"/>
  <c r="N64" i="32"/>
  <c r="N88" i="32" s="1"/>
  <c r="N140" i="32" s="1"/>
  <c r="O20" i="32"/>
  <c r="O64" i="32" s="1"/>
  <c r="O88" i="32" s="1"/>
  <c r="O140" i="32" s="1"/>
  <c r="P64" i="32"/>
  <c r="P88" i="32" s="1"/>
  <c r="Q20" i="32"/>
  <c r="Q64" i="32" s="1"/>
  <c r="Q88" i="32" s="1"/>
  <c r="R64" i="32"/>
  <c r="R88" i="32" s="1"/>
  <c r="R140" i="32" s="1"/>
  <c r="S64" i="32"/>
  <c r="S88" i="32" s="1"/>
  <c r="S140" i="32" s="1"/>
  <c r="T64" i="32"/>
  <c r="T88" i="32" s="1"/>
  <c r="T140" i="32" s="1"/>
  <c r="U64" i="32"/>
  <c r="U88" i="32" s="1"/>
  <c r="U140" i="32" s="1"/>
  <c r="V64" i="32"/>
  <c r="V88" i="32" s="1"/>
  <c r="V140" i="32" s="1"/>
  <c r="E65" i="32"/>
  <c r="E89" i="32" s="1"/>
  <c r="E141" i="32" s="1"/>
  <c r="F65" i="32"/>
  <c r="F89" i="32" s="1"/>
  <c r="F141" i="32" s="1"/>
  <c r="G65" i="32"/>
  <c r="G89" i="32" s="1"/>
  <c r="G141" i="32" s="1"/>
  <c r="H65" i="32"/>
  <c r="H89" i="32" s="1"/>
  <c r="H141" i="32" s="1"/>
  <c r="I65" i="32"/>
  <c r="I89" i="32" s="1"/>
  <c r="J65" i="32"/>
  <c r="J89" i="32" s="1"/>
  <c r="J141" i="32" s="1"/>
  <c r="K65" i="32"/>
  <c r="K89" i="32" s="1"/>
  <c r="K141" i="32" s="1"/>
  <c r="L65" i="32"/>
  <c r="L89" i="32" s="1"/>
  <c r="M65" i="32"/>
  <c r="M89" i="32" s="1"/>
  <c r="N65" i="32"/>
  <c r="N89" i="32"/>
  <c r="N141" i="32" s="1"/>
  <c r="O21" i="32"/>
  <c r="O65" i="32" s="1"/>
  <c r="O89" i="32" s="1"/>
  <c r="O141" i="32" s="1"/>
  <c r="P65" i="32"/>
  <c r="P89" i="32" s="1"/>
  <c r="Q21" i="32"/>
  <c r="Q65" i="32" s="1"/>
  <c r="Q89" i="32" s="1"/>
  <c r="Q141" i="32" s="1"/>
  <c r="R65" i="32"/>
  <c r="R89" i="32" s="1"/>
  <c r="R141" i="32" s="1"/>
  <c r="S65" i="32"/>
  <c r="S89" i="32" s="1"/>
  <c r="S141" i="32" s="1"/>
  <c r="T65" i="32"/>
  <c r="T89" i="32" s="1"/>
  <c r="U65" i="32"/>
  <c r="U89" i="32"/>
  <c r="U141" i="32" s="1"/>
  <c r="V65" i="32"/>
  <c r="V89" i="32" s="1"/>
  <c r="V141" i="32" s="1"/>
  <c r="E66" i="32"/>
  <c r="E90" i="32" s="1"/>
  <c r="E142" i="32" s="1"/>
  <c r="F66" i="32"/>
  <c r="F90" i="32" s="1"/>
  <c r="G66" i="32"/>
  <c r="G90" i="32" s="1"/>
  <c r="G142" i="32" s="1"/>
  <c r="H66" i="32"/>
  <c r="H90" i="32" s="1"/>
  <c r="H142" i="32" s="1"/>
  <c r="I66" i="32"/>
  <c r="I90" i="32" s="1"/>
  <c r="I142" i="32" s="1"/>
  <c r="J66" i="32"/>
  <c r="J90" i="32" s="1"/>
  <c r="K66" i="32"/>
  <c r="K90" i="32" s="1"/>
  <c r="K142" i="32" s="1"/>
  <c r="L66" i="32"/>
  <c r="L90" i="32" s="1"/>
  <c r="L142" i="32" s="1"/>
  <c r="M66" i="32"/>
  <c r="M90" i="32" s="1"/>
  <c r="M142" i="32" s="1"/>
  <c r="N66" i="32"/>
  <c r="N90" i="32" s="1"/>
  <c r="O22" i="32"/>
  <c r="O66" i="32" s="1"/>
  <c r="O90" i="32" s="1"/>
  <c r="O142" i="32" s="1"/>
  <c r="P66" i="32"/>
  <c r="P90" i="32" s="1"/>
  <c r="P142" i="32" s="1"/>
  <c r="Q22" i="32"/>
  <c r="Q66" i="32" s="1"/>
  <c r="Q90" i="32" s="1"/>
  <c r="Q142" i="32" s="1"/>
  <c r="R66" i="32"/>
  <c r="R90" i="32" s="1"/>
  <c r="R142" i="32" s="1"/>
  <c r="S66" i="32"/>
  <c r="S90" i="32" s="1"/>
  <c r="S142" i="32" s="1"/>
  <c r="T66" i="32"/>
  <c r="T90" i="32" s="1"/>
  <c r="T142" i="32" s="1"/>
  <c r="U66" i="32"/>
  <c r="U90" i="32" s="1"/>
  <c r="U142" i="32" s="1"/>
  <c r="V66" i="32"/>
  <c r="V90" i="32" s="1"/>
  <c r="V142" i="32" s="1"/>
  <c r="E67" i="32"/>
  <c r="E96" i="32" s="1"/>
  <c r="E143" i="32" s="1"/>
  <c r="F67" i="32"/>
  <c r="F96" i="32" s="1"/>
  <c r="G67" i="32"/>
  <c r="G96" i="32" s="1"/>
  <c r="H67" i="32"/>
  <c r="H96" i="32" s="1"/>
  <c r="H143" i="32" s="1"/>
  <c r="I67" i="32"/>
  <c r="I96" i="32" s="1"/>
  <c r="I143" i="32" s="1"/>
  <c r="J67" i="32"/>
  <c r="J96" i="32" s="1"/>
  <c r="K67" i="32"/>
  <c r="K96" i="32" s="1"/>
  <c r="K143" i="32" s="1"/>
  <c r="L67" i="32"/>
  <c r="L96" i="32" s="1"/>
  <c r="M67" i="32"/>
  <c r="M96" i="32" s="1"/>
  <c r="M143" i="32" s="1"/>
  <c r="N67" i="32"/>
  <c r="N96" i="32" s="1"/>
  <c r="O28" i="32"/>
  <c r="O67" i="32" s="1"/>
  <c r="O96" i="32" s="1"/>
  <c r="O143" i="32" s="1"/>
  <c r="P67" i="32"/>
  <c r="P96" i="32" s="1"/>
  <c r="P143" i="32" s="1"/>
  <c r="Q28" i="32"/>
  <c r="Q67" i="32" s="1"/>
  <c r="Q96" i="32" s="1"/>
  <c r="Q143" i="32" s="1"/>
  <c r="R67" i="32"/>
  <c r="R96" i="32" s="1"/>
  <c r="S67" i="32"/>
  <c r="S96" i="32" s="1"/>
  <c r="S143" i="32" s="1"/>
  <c r="T67" i="32"/>
  <c r="T96" i="32" s="1"/>
  <c r="T143" i="32" s="1"/>
  <c r="U67" i="32"/>
  <c r="U96" i="32" s="1"/>
  <c r="V67" i="32"/>
  <c r="V96" i="32" s="1"/>
  <c r="V143" i="32" s="1"/>
  <c r="D67" i="32"/>
  <c r="D96" i="32" s="1"/>
  <c r="D143" i="32" s="1"/>
  <c r="D66" i="32"/>
  <c r="D90" i="32" s="1"/>
  <c r="D142" i="32" s="1"/>
  <c r="D65" i="32"/>
  <c r="D89" i="32" s="1"/>
  <c r="D64" i="32"/>
  <c r="D88" i="32" s="1"/>
  <c r="D63" i="32"/>
  <c r="D87" i="32" s="1"/>
  <c r="D139" i="32" s="1"/>
  <c r="D62" i="32"/>
  <c r="D102" i="32" s="1"/>
  <c r="D61" i="32"/>
  <c r="D101" i="32" s="1"/>
  <c r="D60" i="32"/>
  <c r="D100" i="32" s="1"/>
  <c r="D58" i="32"/>
  <c r="D99" i="32" s="1"/>
  <c r="D134" i="32" s="1"/>
  <c r="D57" i="32"/>
  <c r="D98" i="32" s="1"/>
  <c r="D133" i="32" s="1"/>
  <c r="D56" i="32"/>
  <c r="D95" i="32" s="1"/>
  <c r="D55" i="32"/>
  <c r="D94" i="32" s="1"/>
  <c r="D54" i="32"/>
  <c r="D93" i="32" s="1"/>
  <c r="D130" i="32" s="1"/>
  <c r="D53" i="32"/>
  <c r="D92" i="32" s="1"/>
  <c r="D129" i="32" s="1"/>
  <c r="D52" i="32"/>
  <c r="D91" i="32" s="1"/>
  <c r="D51" i="32"/>
  <c r="D85" i="32" s="1"/>
  <c r="D50" i="32"/>
  <c r="D84" i="32" s="1"/>
  <c r="D126" i="32" s="1"/>
  <c r="D49" i="32"/>
  <c r="D83" i="32" s="1"/>
  <c r="D125" i="32" s="1"/>
  <c r="D48" i="32"/>
  <c r="D82" i="32" s="1"/>
  <c r="D47" i="32"/>
  <c r="D81" i="32" s="1"/>
  <c r="D46" i="32"/>
  <c r="D80" i="32" s="1"/>
  <c r="D122" i="32" s="1"/>
  <c r="D45" i="32"/>
  <c r="D79" i="32" s="1"/>
  <c r="D121" i="32" s="1"/>
  <c r="D44" i="32"/>
  <c r="D78" i="32" s="1"/>
  <c r="D37" i="32"/>
  <c r="D97" i="32" s="1"/>
  <c r="D7" i="33"/>
  <c r="G7" i="33"/>
  <c r="H7" i="33"/>
  <c r="D11" i="33"/>
  <c r="G11" i="33"/>
  <c r="H11" i="33"/>
  <c r="D8" i="33"/>
  <c r="G8" i="33"/>
  <c r="H8" i="33"/>
  <c r="D27" i="33"/>
  <c r="G27" i="33"/>
  <c r="H27" i="33"/>
  <c r="D9" i="33"/>
  <c r="G9" i="33"/>
  <c r="H9" i="33"/>
  <c r="D10" i="33"/>
  <c r="G10" i="33"/>
  <c r="H10" i="33"/>
  <c r="D12" i="33"/>
  <c r="G12" i="33"/>
  <c r="H12" i="33"/>
  <c r="D13" i="33"/>
  <c r="G13" i="33"/>
  <c r="H13" i="33"/>
  <c r="D14" i="33"/>
  <c r="G14" i="33"/>
  <c r="H14" i="33"/>
  <c r="D15" i="33"/>
  <c r="G15" i="33"/>
  <c r="H15" i="33"/>
  <c r="D16" i="33"/>
  <c r="G16" i="33"/>
  <c r="H16" i="33"/>
  <c r="D17" i="33"/>
  <c r="G17" i="33"/>
  <c r="H17" i="33"/>
  <c r="D18" i="33"/>
  <c r="G18" i="33"/>
  <c r="H18" i="33"/>
  <c r="D19" i="33"/>
  <c r="G19" i="33"/>
  <c r="H19" i="33"/>
  <c r="D20" i="33"/>
  <c r="H20" i="33"/>
  <c r="D21" i="33"/>
  <c r="G21" i="33"/>
  <c r="H21" i="33"/>
  <c r="D22" i="33"/>
  <c r="G22" i="33"/>
  <c r="D23" i="33"/>
  <c r="G23" i="33"/>
  <c r="H23" i="33"/>
  <c r="D24" i="33"/>
  <c r="G24" i="33"/>
  <c r="H24" i="33"/>
  <c r="D25" i="33"/>
  <c r="G25" i="33"/>
  <c r="H25" i="33"/>
  <c r="D26" i="33"/>
  <c r="G26" i="33"/>
  <c r="H26" i="33"/>
  <c r="D28" i="33"/>
  <c r="G28" i="33"/>
  <c r="H28" i="33"/>
  <c r="D29" i="33"/>
  <c r="G29" i="33"/>
  <c r="H29" i="33"/>
  <c r="D30" i="33"/>
  <c r="G30" i="33"/>
  <c r="H30" i="33"/>
  <c r="D31" i="33"/>
  <c r="G31" i="33"/>
  <c r="H31" i="33"/>
  <c r="D32" i="33"/>
  <c r="G32" i="33"/>
  <c r="H32" i="33"/>
  <c r="D33" i="33"/>
  <c r="G33" i="33"/>
  <c r="H33" i="33"/>
  <c r="D34" i="33"/>
  <c r="G34" i="33"/>
  <c r="H34" i="33"/>
  <c r="D35" i="33"/>
  <c r="G35" i="33"/>
  <c r="H35" i="33"/>
  <c r="D36" i="33"/>
  <c r="G36" i="33"/>
  <c r="H36" i="33"/>
  <c r="J7" i="33"/>
  <c r="I7" i="33"/>
  <c r="K7" i="33"/>
  <c r="N36" i="33"/>
  <c r="J36" i="33"/>
  <c r="I36" i="33"/>
  <c r="K36" i="33"/>
  <c r="J35" i="33"/>
  <c r="I35" i="33"/>
  <c r="K35" i="33"/>
  <c r="J34" i="33"/>
  <c r="I34" i="33"/>
  <c r="K34" i="33"/>
  <c r="J32" i="33"/>
  <c r="I32" i="33"/>
  <c r="K32" i="33"/>
  <c r="J31" i="33"/>
  <c r="I31" i="33"/>
  <c r="K31" i="33"/>
  <c r="J30" i="33"/>
  <c r="I30" i="33"/>
  <c r="K30" i="33"/>
  <c r="J29" i="33"/>
  <c r="I29" i="33"/>
  <c r="K29" i="33"/>
  <c r="J28" i="33"/>
  <c r="I28" i="33"/>
  <c r="K28" i="33"/>
  <c r="J27" i="33"/>
  <c r="I27" i="33"/>
  <c r="K27" i="33"/>
  <c r="J26" i="33"/>
  <c r="I26" i="33"/>
  <c r="K26" i="33"/>
  <c r="J25" i="33"/>
  <c r="I25" i="33"/>
  <c r="K25" i="33"/>
  <c r="J24" i="33"/>
  <c r="I24" i="33"/>
  <c r="K24" i="33"/>
  <c r="J23" i="33"/>
  <c r="I23" i="33"/>
  <c r="K23" i="33"/>
  <c r="J22" i="33"/>
  <c r="I22" i="33"/>
  <c r="K22" i="33"/>
  <c r="J21" i="33"/>
  <c r="I21" i="33"/>
  <c r="K21" i="33"/>
  <c r="J20" i="33"/>
  <c r="I20" i="33"/>
  <c r="K20" i="33"/>
  <c r="J19" i="33"/>
  <c r="I19" i="33"/>
  <c r="K19" i="33"/>
  <c r="J18" i="33"/>
  <c r="I18" i="33"/>
  <c r="K18" i="33"/>
  <c r="J17" i="33"/>
  <c r="I17" i="33"/>
  <c r="K17" i="33"/>
  <c r="J16" i="33"/>
  <c r="I16" i="33"/>
  <c r="K16" i="33"/>
  <c r="J15" i="33"/>
  <c r="I15" i="33"/>
  <c r="K15" i="33"/>
  <c r="J14" i="33"/>
  <c r="I14" i="33"/>
  <c r="K14" i="33"/>
  <c r="J13" i="33"/>
  <c r="I13" i="33"/>
  <c r="K13" i="33"/>
  <c r="J12" i="33"/>
  <c r="I12" i="33"/>
  <c r="K12" i="33"/>
  <c r="J11" i="33"/>
  <c r="I11" i="33"/>
  <c r="K11" i="33"/>
  <c r="J10" i="33"/>
  <c r="I10" i="33"/>
  <c r="K10" i="33"/>
  <c r="J9" i="33"/>
  <c r="I9" i="33"/>
  <c r="K9" i="33"/>
  <c r="J8" i="33"/>
  <c r="I8" i="33"/>
  <c r="K8" i="33"/>
  <c r="K57" i="28"/>
  <c r="D34" i="29"/>
  <c r="D35" i="29" s="1"/>
  <c r="D39" i="29"/>
  <c r="D38" i="29"/>
  <c r="E38" i="29"/>
  <c r="X34" i="3"/>
  <c r="AM34" i="3" s="1"/>
  <c r="AE34" i="3"/>
  <c r="AC34" i="3"/>
  <c r="AW27" i="3"/>
  <c r="AW35" i="3"/>
  <c r="AW21" i="3"/>
  <c r="AW20" i="3"/>
  <c r="AW19" i="3"/>
  <c r="AW18" i="3"/>
  <c r="AW33" i="3"/>
  <c r="AW32" i="3"/>
  <c r="AW31" i="3"/>
  <c r="AW30" i="3"/>
  <c r="AW17" i="3"/>
  <c r="AW29" i="3"/>
  <c r="AW28" i="3"/>
  <c r="AW26" i="3"/>
  <c r="AW25" i="3"/>
  <c r="AW24" i="3"/>
  <c r="AW23" i="3"/>
  <c r="AW22" i="3"/>
  <c r="AW16" i="3"/>
  <c r="AW15" i="3"/>
  <c r="AW14" i="3"/>
  <c r="AW13" i="3"/>
  <c r="AW12" i="3"/>
  <c r="AW11" i="3"/>
  <c r="AW10" i="3"/>
  <c r="AW9" i="3"/>
  <c r="AW8" i="3"/>
  <c r="AW7" i="3"/>
  <c r="AW6" i="3"/>
  <c r="AW5" i="3"/>
  <c r="AW4" i="3"/>
  <c r="AW3" i="3"/>
  <c r="AW34" i="3"/>
  <c r="AV34" i="3"/>
  <c r="M135" i="22"/>
  <c r="M134" i="22"/>
  <c r="N134" i="22"/>
  <c r="O134" i="22"/>
  <c r="P134" i="22"/>
  <c r="Q134" i="22"/>
  <c r="N135" i="22"/>
  <c r="O135" i="22"/>
  <c r="P135" i="22"/>
  <c r="Q135" i="22"/>
  <c r="M136" i="22"/>
  <c r="N136" i="22"/>
  <c r="O136" i="22"/>
  <c r="P136" i="22"/>
  <c r="Q136" i="22"/>
  <c r="M137" i="22"/>
  <c r="N137" i="22"/>
  <c r="O137" i="22"/>
  <c r="P137" i="22"/>
  <c r="Q137" i="22"/>
  <c r="M138" i="22"/>
  <c r="N138" i="22"/>
  <c r="O138" i="22"/>
  <c r="P138" i="22"/>
  <c r="Q138" i="22"/>
  <c r="O126" i="22"/>
  <c r="M126" i="22"/>
  <c r="N126" i="22"/>
  <c r="P126" i="22"/>
  <c r="Q126" i="22"/>
  <c r="M127" i="22"/>
  <c r="N127" i="22"/>
  <c r="O127" i="22"/>
  <c r="P127" i="22"/>
  <c r="Q127" i="22"/>
  <c r="M128" i="22"/>
  <c r="N128" i="22"/>
  <c r="O128" i="22"/>
  <c r="P128" i="22"/>
  <c r="Q128" i="22"/>
  <c r="M129" i="22"/>
  <c r="N129" i="22"/>
  <c r="O129" i="22"/>
  <c r="P129" i="22"/>
  <c r="Q129" i="22"/>
  <c r="M130" i="22"/>
  <c r="N130" i="22"/>
  <c r="O130" i="22"/>
  <c r="P130" i="22"/>
  <c r="Q130" i="22"/>
  <c r="L127" i="22"/>
  <c r="L126" i="22"/>
  <c r="H81" i="11"/>
  <c r="I134" i="22"/>
  <c r="K134" i="22"/>
  <c r="L134" i="22"/>
  <c r="I135" i="22"/>
  <c r="K135" i="22"/>
  <c r="L135" i="22"/>
  <c r="I136" i="22"/>
  <c r="K136" i="22"/>
  <c r="L136" i="22"/>
  <c r="I137" i="22"/>
  <c r="K137" i="22"/>
  <c r="L137" i="22"/>
  <c r="I138" i="22"/>
  <c r="K138" i="22"/>
  <c r="L138" i="22"/>
  <c r="H137" i="22"/>
  <c r="H138" i="22"/>
  <c r="H136" i="22"/>
  <c r="H135" i="22"/>
  <c r="H134" i="22"/>
  <c r="H130" i="22"/>
  <c r="H129" i="22"/>
  <c r="AX68" i="22"/>
  <c r="AX67" i="22"/>
  <c r="AX50" i="22"/>
  <c r="AX48" i="22"/>
  <c r="AA4" i="3"/>
  <c r="AC4" i="3"/>
  <c r="E70" i="25"/>
  <c r="F70" i="25"/>
  <c r="G70" i="25"/>
  <c r="H70" i="25"/>
  <c r="I70" i="25"/>
  <c r="J70" i="25"/>
  <c r="K70" i="25"/>
  <c r="L70" i="25"/>
  <c r="M70" i="25"/>
  <c r="D70" i="25"/>
  <c r="C70" i="25"/>
  <c r="A63" i="25"/>
  <c r="A90" i="25" s="1"/>
  <c r="A64" i="25"/>
  <c r="A91" i="25" s="1"/>
  <c r="A65" i="25"/>
  <c r="A92" i="25" s="1"/>
  <c r="A66" i="25"/>
  <c r="A93" i="25" s="1"/>
  <c r="A67" i="25"/>
  <c r="A94" i="25" s="1"/>
  <c r="A68" i="25"/>
  <c r="A95" i="25" s="1"/>
  <c r="A69" i="25"/>
  <c r="A96" i="25" s="1"/>
  <c r="A70" i="25"/>
  <c r="A97" i="25" s="1"/>
  <c r="A62" i="25"/>
  <c r="A89" i="25" s="1"/>
  <c r="K130" i="22"/>
  <c r="K129" i="22"/>
  <c r="K128" i="22"/>
  <c r="K127" i="22"/>
  <c r="K126" i="22"/>
  <c r="J90" i="22"/>
  <c r="J91" i="22"/>
  <c r="J92" i="22"/>
  <c r="J93" i="22"/>
  <c r="J94" i="22"/>
  <c r="J95" i="22"/>
  <c r="N39" i="29"/>
  <c r="P40" i="29"/>
  <c r="O40" i="29"/>
  <c r="N40" i="29"/>
  <c r="M40" i="29"/>
  <c r="L40" i="29"/>
  <c r="K40" i="29"/>
  <c r="J40" i="29"/>
  <c r="I40" i="29"/>
  <c r="H40" i="29"/>
  <c r="G40" i="29"/>
  <c r="F40" i="29"/>
  <c r="E40" i="29"/>
  <c r="P39" i="29"/>
  <c r="O39" i="29"/>
  <c r="M39" i="29"/>
  <c r="L39" i="29"/>
  <c r="K39" i="29"/>
  <c r="J39" i="29"/>
  <c r="I39" i="29"/>
  <c r="H39" i="29"/>
  <c r="F39" i="29"/>
  <c r="E39" i="29"/>
  <c r="P38" i="29"/>
  <c r="O38" i="29"/>
  <c r="N38" i="29"/>
  <c r="M38" i="29"/>
  <c r="L38" i="29"/>
  <c r="K38" i="29"/>
  <c r="J38" i="29"/>
  <c r="I38" i="29"/>
  <c r="H38" i="29"/>
  <c r="G38" i="29"/>
  <c r="F38" i="29"/>
  <c r="C39" i="21"/>
  <c r="C45" i="21"/>
  <c r="E33" i="29"/>
  <c r="F33" i="29"/>
  <c r="G33" i="29"/>
  <c r="H33" i="29"/>
  <c r="I33" i="29"/>
  <c r="J33" i="29"/>
  <c r="K33" i="29"/>
  <c r="L33" i="29"/>
  <c r="M33" i="29"/>
  <c r="N33" i="29"/>
  <c r="O33" i="29"/>
  <c r="P33" i="29"/>
  <c r="E34" i="29"/>
  <c r="F34" i="29"/>
  <c r="G34" i="29"/>
  <c r="H34" i="29"/>
  <c r="I34" i="29"/>
  <c r="J34" i="29"/>
  <c r="K34" i="29"/>
  <c r="L34" i="29"/>
  <c r="M34" i="29"/>
  <c r="N34" i="29"/>
  <c r="O34" i="29"/>
  <c r="P34" i="29"/>
  <c r="E33" i="28"/>
  <c r="F33" i="28"/>
  <c r="G33" i="28"/>
  <c r="H33" i="28"/>
  <c r="I33" i="28"/>
  <c r="J33" i="28"/>
  <c r="K33" i="28"/>
  <c r="L33" i="28"/>
  <c r="M33" i="28"/>
  <c r="N33" i="28"/>
  <c r="O33" i="28"/>
  <c r="P33" i="28"/>
  <c r="E34" i="28"/>
  <c r="E35" i="28"/>
  <c r="F34" i="28"/>
  <c r="F35" i="28"/>
  <c r="G34" i="28"/>
  <c r="H34" i="28"/>
  <c r="I34" i="28"/>
  <c r="J34" i="28"/>
  <c r="K34" i="28"/>
  <c r="L34" i="28"/>
  <c r="L35" i="28"/>
  <c r="M34" i="28"/>
  <c r="M35" i="28"/>
  <c r="N34" i="28"/>
  <c r="N35" i="28"/>
  <c r="O34" i="28"/>
  <c r="P34" i="28"/>
  <c r="D41" i="28"/>
  <c r="D42" i="28"/>
  <c r="D38" i="28"/>
  <c r="D34" i="28"/>
  <c r="D33" i="28"/>
  <c r="X21" i="3"/>
  <c r="X35" i="3"/>
  <c r="AM35" i="3" s="1"/>
  <c r="X27" i="3"/>
  <c r="AM27" i="3" s="1"/>
  <c r="E58" i="28"/>
  <c r="F58" i="28"/>
  <c r="G58" i="28"/>
  <c r="H58" i="28"/>
  <c r="I58" i="28"/>
  <c r="J58" i="28"/>
  <c r="K58" i="28"/>
  <c r="L58" i="28"/>
  <c r="M58" i="28"/>
  <c r="N58" i="28"/>
  <c r="O58" i="28"/>
  <c r="P58" i="28"/>
  <c r="D58" i="28"/>
  <c r="E49" i="28"/>
  <c r="F49" i="28"/>
  <c r="G49" i="28"/>
  <c r="H49" i="28"/>
  <c r="I49" i="28"/>
  <c r="J49" i="28"/>
  <c r="K49" i="28"/>
  <c r="L49" i="28"/>
  <c r="M49" i="28"/>
  <c r="N49" i="28"/>
  <c r="O49" i="28"/>
  <c r="P49" i="28"/>
  <c r="D49" i="28"/>
  <c r="N54" i="28"/>
  <c r="O54" i="28"/>
  <c r="P54" i="28"/>
  <c r="N55" i="28"/>
  <c r="O55" i="28"/>
  <c r="P55" i="28"/>
  <c r="N56" i="28"/>
  <c r="O56" i="28"/>
  <c r="P56" i="28"/>
  <c r="N57" i="28"/>
  <c r="O57" i="28"/>
  <c r="P57" i="28"/>
  <c r="N59" i="28"/>
  <c r="O59" i="28"/>
  <c r="P59" i="28"/>
  <c r="E54" i="28"/>
  <c r="F54" i="28"/>
  <c r="G54" i="28"/>
  <c r="H54" i="28"/>
  <c r="I54" i="28"/>
  <c r="J54" i="28"/>
  <c r="K54" i="28"/>
  <c r="L54" i="28"/>
  <c r="M54" i="28"/>
  <c r="E55" i="28"/>
  <c r="F55" i="28"/>
  <c r="G55" i="28"/>
  <c r="H55" i="28"/>
  <c r="I55" i="28"/>
  <c r="J55" i="28"/>
  <c r="K55" i="28"/>
  <c r="L55" i="28"/>
  <c r="M55" i="28"/>
  <c r="E56" i="28"/>
  <c r="F56" i="28"/>
  <c r="G56" i="28"/>
  <c r="H56" i="28"/>
  <c r="I56" i="28"/>
  <c r="J56" i="28"/>
  <c r="K56" i="28"/>
  <c r="L56" i="28"/>
  <c r="M56" i="28"/>
  <c r="E57" i="28"/>
  <c r="F57" i="28"/>
  <c r="G57" i="28"/>
  <c r="H57" i="28"/>
  <c r="I57" i="28"/>
  <c r="J57" i="28"/>
  <c r="L57" i="28"/>
  <c r="M57" i="28"/>
  <c r="E59" i="28"/>
  <c r="F59" i="28"/>
  <c r="G59" i="28"/>
  <c r="H59" i="28"/>
  <c r="I59" i="28"/>
  <c r="J59" i="28"/>
  <c r="K59" i="28"/>
  <c r="L59" i="28"/>
  <c r="M59" i="28"/>
  <c r="N45" i="28"/>
  <c r="O45" i="28"/>
  <c r="P45" i="28"/>
  <c r="N46" i="28"/>
  <c r="O46" i="28"/>
  <c r="P46" i="28"/>
  <c r="N47" i="28"/>
  <c r="O47" i="28"/>
  <c r="P47" i="28"/>
  <c r="N48" i="28"/>
  <c r="O48" i="28"/>
  <c r="P48" i="28"/>
  <c r="N50" i="28"/>
  <c r="O50" i="28"/>
  <c r="P50" i="28"/>
  <c r="F45" i="28"/>
  <c r="G45" i="28"/>
  <c r="H45" i="28"/>
  <c r="I45" i="28"/>
  <c r="J45" i="28"/>
  <c r="K45" i="28"/>
  <c r="L45" i="28"/>
  <c r="M45" i="28"/>
  <c r="F46" i="28"/>
  <c r="G46" i="28"/>
  <c r="H46" i="28"/>
  <c r="I46" i="28"/>
  <c r="J46" i="28"/>
  <c r="K46" i="28"/>
  <c r="L46" i="28"/>
  <c r="M46" i="28"/>
  <c r="F47" i="28"/>
  <c r="G47" i="28"/>
  <c r="H47" i="28"/>
  <c r="I47" i="28"/>
  <c r="J47" i="28"/>
  <c r="K47" i="28"/>
  <c r="L47" i="28"/>
  <c r="M47" i="28"/>
  <c r="F48" i="28"/>
  <c r="G48" i="28"/>
  <c r="H48" i="28"/>
  <c r="I48" i="28"/>
  <c r="J48" i="28"/>
  <c r="K48" i="28"/>
  <c r="L48" i="28"/>
  <c r="M48" i="28"/>
  <c r="F50" i="28"/>
  <c r="G50" i="28"/>
  <c r="H50" i="28"/>
  <c r="I50" i="28"/>
  <c r="J50" i="28"/>
  <c r="K50" i="28"/>
  <c r="L50" i="28"/>
  <c r="M50" i="28"/>
  <c r="E45" i="28"/>
  <c r="E46" i="28"/>
  <c r="E47" i="28"/>
  <c r="E48" i="28"/>
  <c r="E50" i="28"/>
  <c r="D48" i="28"/>
  <c r="D50" i="28"/>
  <c r="D59" i="28"/>
  <c r="D57" i="28"/>
  <c r="D56" i="28"/>
  <c r="D55" i="28"/>
  <c r="D54" i="28"/>
  <c r="D47" i="28"/>
  <c r="D46" i="28"/>
  <c r="D45" i="28"/>
  <c r="D39" i="28"/>
  <c r="D40" i="28"/>
  <c r="E41" i="28"/>
  <c r="F41" i="28"/>
  <c r="G41" i="28"/>
  <c r="H41" i="28"/>
  <c r="I41" i="28"/>
  <c r="J41" i="28"/>
  <c r="K41" i="28"/>
  <c r="L41" i="28"/>
  <c r="M41" i="28"/>
  <c r="N41" i="28"/>
  <c r="O41" i="28"/>
  <c r="P41" i="28"/>
  <c r="I73" i="22"/>
  <c r="J35" i="28"/>
  <c r="I35" i="28"/>
  <c r="P35" i="28"/>
  <c r="H35" i="28"/>
  <c r="O35" i="28"/>
  <c r="G35" i="28"/>
  <c r="D35" i="28"/>
  <c r="K35" i="28"/>
  <c r="E126" i="32"/>
  <c r="E116" i="32"/>
  <c r="E113" i="32"/>
  <c r="G131" i="32"/>
  <c r="G129" i="32"/>
  <c r="G137" i="32"/>
  <c r="E134" i="32"/>
  <c r="G115" i="32"/>
  <c r="E125" i="32"/>
  <c r="W33" i="32"/>
  <c r="Y33" i="32" s="1"/>
  <c r="W7" i="32"/>
  <c r="Y7" i="32" s="1"/>
  <c r="W15" i="32"/>
  <c r="Y15" i="32" s="1"/>
  <c r="W4" i="32"/>
  <c r="S39" i="21"/>
  <c r="S45" i="21"/>
  <c r="C40" i="21"/>
  <c r="C46" i="21"/>
  <c r="S40" i="21"/>
  <c r="S46" i="21"/>
  <c r="D39" i="21"/>
  <c r="E39" i="21"/>
  <c r="E45" i="21"/>
  <c r="F39" i="21"/>
  <c r="F45" i="21"/>
  <c r="G39" i="21"/>
  <c r="G45" i="21"/>
  <c r="H39" i="21"/>
  <c r="H45" i="21"/>
  <c r="I39" i="21"/>
  <c r="I45" i="21"/>
  <c r="J39" i="21"/>
  <c r="K39" i="21"/>
  <c r="L39" i="21"/>
  <c r="M39" i="21"/>
  <c r="O39" i="21"/>
  <c r="Q39" i="21"/>
  <c r="Q45" i="21"/>
  <c r="R39" i="21"/>
  <c r="R45" i="21"/>
  <c r="T39" i="21"/>
  <c r="T45" i="21"/>
  <c r="U39" i="21"/>
  <c r="U45" i="21"/>
  <c r="D38" i="21"/>
  <c r="D37" i="21"/>
  <c r="J81" i="11"/>
  <c r="L130" i="22"/>
  <c r="I130" i="22"/>
  <c r="L129" i="22"/>
  <c r="I129" i="22"/>
  <c r="J122" i="22"/>
  <c r="J114" i="22"/>
  <c r="AK73" i="22"/>
  <c r="AL73" i="22"/>
  <c r="AM73" i="22"/>
  <c r="AN73" i="22"/>
  <c r="AO73" i="22"/>
  <c r="AP73" i="22"/>
  <c r="AQ73" i="22"/>
  <c r="AK74" i="22"/>
  <c r="AL74" i="22"/>
  <c r="AM74" i="22"/>
  <c r="AN74" i="22"/>
  <c r="AO74" i="22"/>
  <c r="AP74" i="22"/>
  <c r="AQ74" i="22"/>
  <c r="J73" i="22"/>
  <c r="K73" i="22"/>
  <c r="L73" i="22"/>
  <c r="M73" i="22"/>
  <c r="N73" i="22"/>
  <c r="O73" i="22"/>
  <c r="P73" i="22"/>
  <c r="Q73" i="22"/>
  <c r="R73" i="22"/>
  <c r="S73" i="22"/>
  <c r="T73" i="22"/>
  <c r="U73" i="22"/>
  <c r="V73" i="22"/>
  <c r="W73" i="22"/>
  <c r="X73" i="22"/>
  <c r="Y73" i="22"/>
  <c r="Z73" i="22"/>
  <c r="AA73" i="22"/>
  <c r="AB73" i="22"/>
  <c r="AC73" i="22"/>
  <c r="AD73" i="22"/>
  <c r="AE73" i="22"/>
  <c r="AF73" i="22"/>
  <c r="AG73" i="22"/>
  <c r="AH73" i="22"/>
  <c r="AI73" i="22"/>
  <c r="AJ73" i="22"/>
  <c r="I74" i="22"/>
  <c r="J74" i="22"/>
  <c r="K74" i="22"/>
  <c r="L74" i="22"/>
  <c r="M74" i="22"/>
  <c r="N74" i="22"/>
  <c r="O74" i="22"/>
  <c r="P74" i="22"/>
  <c r="Q74" i="22"/>
  <c r="R74" i="22"/>
  <c r="S74" i="22"/>
  <c r="T74" i="22"/>
  <c r="U74" i="22"/>
  <c r="V74" i="22"/>
  <c r="W74" i="22"/>
  <c r="X74" i="22"/>
  <c r="Y74" i="22"/>
  <c r="Z74" i="22"/>
  <c r="AA74" i="22"/>
  <c r="AB74" i="22"/>
  <c r="AC74" i="22"/>
  <c r="AD74" i="22"/>
  <c r="AE74" i="22"/>
  <c r="AF74" i="22"/>
  <c r="AG74" i="22"/>
  <c r="AH74" i="22"/>
  <c r="AI74" i="22"/>
  <c r="AJ74" i="22"/>
  <c r="H74" i="22"/>
  <c r="H73" i="22"/>
  <c r="AX65" i="22"/>
  <c r="AX66" i="22"/>
  <c r="AX69" i="22"/>
  <c r="AW58" i="22"/>
  <c r="AW59" i="22"/>
  <c r="AW60" i="22"/>
  <c r="AW61" i="22"/>
  <c r="AW62" i="22"/>
  <c r="AW63" i="22"/>
  <c r="AW64" i="22"/>
  <c r="AW65" i="22"/>
  <c r="AW66" i="22"/>
  <c r="AW67" i="22"/>
  <c r="AW68" i="22"/>
  <c r="AW69" i="22"/>
  <c r="AR69" i="22"/>
  <c r="AV67" i="22"/>
  <c r="AV68" i="22"/>
  <c r="AV69" i="22"/>
  <c r="AU69" i="22"/>
  <c r="AU68" i="22"/>
  <c r="AU39" i="22"/>
  <c r="AU38" i="22"/>
  <c r="AS46" i="22"/>
  <c r="AS49" i="22"/>
  <c r="AS58" i="22"/>
  <c r="AS61" i="22"/>
  <c r="H126" i="22"/>
  <c r="P34" i="21"/>
  <c r="N34" i="21"/>
  <c r="V34" i="21"/>
  <c r="Y34" i="21"/>
  <c r="X25" i="3"/>
  <c r="AM25" i="3" s="1"/>
  <c r="AA25" i="3"/>
  <c r="AC25" i="3"/>
  <c r="AE25" i="3"/>
  <c r="AV25" i="3"/>
  <c r="D49" i="25"/>
  <c r="E49" i="25"/>
  <c r="F49" i="25"/>
  <c r="G49" i="25"/>
  <c r="H49" i="25"/>
  <c r="I49" i="25"/>
  <c r="J49" i="25"/>
  <c r="K49" i="25"/>
  <c r="L49" i="25"/>
  <c r="M49" i="25"/>
  <c r="C36" i="21"/>
  <c r="C42" i="21"/>
  <c r="C37" i="21"/>
  <c r="C43" i="21"/>
  <c r="C38" i="21"/>
  <c r="C44" i="21"/>
  <c r="M36" i="21"/>
  <c r="T36" i="21"/>
  <c r="T42" i="21"/>
  <c r="T37" i="21"/>
  <c r="T43" i="21"/>
  <c r="T38" i="21"/>
  <c r="T44" i="21"/>
  <c r="T40" i="21"/>
  <c r="Q36" i="21"/>
  <c r="Q42" i="21"/>
  <c r="R36" i="21"/>
  <c r="R42" i="21"/>
  <c r="Q37" i="21"/>
  <c r="Q43" i="21"/>
  <c r="R37" i="21"/>
  <c r="R43" i="21"/>
  <c r="Q38" i="21"/>
  <c r="Q44" i="21"/>
  <c r="R38" i="21"/>
  <c r="R44" i="21"/>
  <c r="Q40" i="21"/>
  <c r="R40" i="21"/>
  <c r="E36" i="21"/>
  <c r="F36" i="21"/>
  <c r="F42" i="21"/>
  <c r="G36" i="21"/>
  <c r="G42" i="21"/>
  <c r="H36" i="21"/>
  <c r="H42" i="21"/>
  <c r="E37" i="21"/>
  <c r="E43" i="21"/>
  <c r="F37" i="21"/>
  <c r="F43" i="21"/>
  <c r="G37" i="21"/>
  <c r="G43" i="21"/>
  <c r="H37" i="21"/>
  <c r="H43" i="21"/>
  <c r="E38" i="21"/>
  <c r="E44" i="21"/>
  <c r="F38" i="21"/>
  <c r="F44" i="21"/>
  <c r="G38" i="21"/>
  <c r="G44" i="21"/>
  <c r="H38" i="21"/>
  <c r="H44" i="21"/>
  <c r="E40" i="21"/>
  <c r="F40" i="21"/>
  <c r="G40" i="21"/>
  <c r="H40" i="21"/>
  <c r="D40" i="21"/>
  <c r="D46" i="21"/>
  <c r="R72" i="21"/>
  <c r="R46" i="21"/>
  <c r="E71" i="21"/>
  <c r="E42" i="21"/>
  <c r="F72" i="21"/>
  <c r="F46" i="21"/>
  <c r="E72" i="21"/>
  <c r="E46" i="21"/>
  <c r="C72" i="21"/>
  <c r="H72" i="21"/>
  <c r="H46" i="21"/>
  <c r="T72" i="21"/>
  <c r="T46" i="21"/>
  <c r="G72" i="21"/>
  <c r="G46" i="21"/>
  <c r="Q72" i="21"/>
  <c r="Q46" i="21"/>
  <c r="F128" i="32"/>
  <c r="F113" i="32"/>
  <c r="F132" i="32"/>
  <c r="F136" i="32"/>
  <c r="I115" i="32"/>
  <c r="H136" i="32"/>
  <c r="I130" i="32"/>
  <c r="G122" i="32"/>
  <c r="G125" i="32"/>
  <c r="AR82" i="22"/>
  <c r="AR81" i="22"/>
  <c r="H71" i="21"/>
  <c r="C71" i="21"/>
  <c r="T71" i="21"/>
  <c r="Q71" i="21"/>
  <c r="G71" i="21"/>
  <c r="F71" i="21"/>
  <c r="R71" i="21"/>
  <c r="D72" i="21"/>
  <c r="F97" i="11"/>
  <c r="F96" i="11"/>
  <c r="X3" i="3"/>
  <c r="AM3" i="3" s="1"/>
  <c r="H134" i="32"/>
  <c r="K135" i="32"/>
  <c r="I127" i="32"/>
  <c r="I125" i="32"/>
  <c r="K129" i="32"/>
  <c r="H126" i="32"/>
  <c r="I114" i="32"/>
  <c r="H114" i="32"/>
  <c r="J132" i="32"/>
  <c r="L116" i="32"/>
  <c r="I117" i="32"/>
  <c r="F100" i="11"/>
  <c r="F99" i="11"/>
  <c r="F98" i="11"/>
  <c r="F102" i="11"/>
  <c r="H127" i="22"/>
  <c r="M42" i="21"/>
  <c r="L45" i="21"/>
  <c r="J118" i="22"/>
  <c r="J119" i="22"/>
  <c r="J120" i="22"/>
  <c r="J121" i="22"/>
  <c r="J117" i="22"/>
  <c r="J96" i="22"/>
  <c r="J134" i="22"/>
  <c r="J97" i="22"/>
  <c r="J98" i="22"/>
  <c r="J99" i="22"/>
  <c r="J100" i="22"/>
  <c r="J101" i="22"/>
  <c r="J102" i="22"/>
  <c r="J103" i="22"/>
  <c r="J104" i="22"/>
  <c r="J105" i="22"/>
  <c r="J106" i="22"/>
  <c r="J107" i="22"/>
  <c r="J108" i="22"/>
  <c r="J109" i="22"/>
  <c r="J110" i="22"/>
  <c r="J111" i="22"/>
  <c r="J112" i="22"/>
  <c r="J113" i="22"/>
  <c r="J126" i="22"/>
  <c r="I126" i="22"/>
  <c r="I127" i="22"/>
  <c r="I128" i="22"/>
  <c r="L128" i="22"/>
  <c r="H128" i="22"/>
  <c r="E38" i="28"/>
  <c r="F38" i="28"/>
  <c r="G38" i="28"/>
  <c r="H38" i="28"/>
  <c r="I38" i="28"/>
  <c r="J38" i="28"/>
  <c r="K38" i="28"/>
  <c r="L38" i="28"/>
  <c r="M38" i="28"/>
  <c r="N38" i="28"/>
  <c r="O38" i="28"/>
  <c r="P38" i="28"/>
  <c r="E39" i="28"/>
  <c r="F39" i="28"/>
  <c r="G39" i="28"/>
  <c r="H39" i="28"/>
  <c r="I39" i="28"/>
  <c r="J39" i="28"/>
  <c r="K39" i="28"/>
  <c r="L39" i="28"/>
  <c r="M39" i="28"/>
  <c r="N39" i="28"/>
  <c r="O39" i="28"/>
  <c r="P39" i="28"/>
  <c r="E40" i="28"/>
  <c r="F40" i="28"/>
  <c r="G40" i="28"/>
  <c r="H40" i="28"/>
  <c r="I40" i="28"/>
  <c r="J40" i="28"/>
  <c r="K40" i="28"/>
  <c r="L40" i="28"/>
  <c r="M40" i="28"/>
  <c r="N40" i="28"/>
  <c r="O40" i="28"/>
  <c r="P40" i="28"/>
  <c r="E42" i="28"/>
  <c r="F42" i="28"/>
  <c r="G42" i="28"/>
  <c r="H42" i="28"/>
  <c r="I42" i="28"/>
  <c r="J42" i="28"/>
  <c r="K42" i="28"/>
  <c r="L42" i="28"/>
  <c r="M42" i="28"/>
  <c r="N42" i="28"/>
  <c r="O42" i="28"/>
  <c r="P42" i="28"/>
  <c r="O45" i="21"/>
  <c r="O38" i="21"/>
  <c r="O44" i="21"/>
  <c r="O37" i="21"/>
  <c r="O43" i="21"/>
  <c r="L36" i="21"/>
  <c r="O36" i="21"/>
  <c r="S36" i="21"/>
  <c r="S42" i="21"/>
  <c r="U36" i="21"/>
  <c r="U42" i="21"/>
  <c r="L37" i="21"/>
  <c r="L43" i="21"/>
  <c r="M37" i="21"/>
  <c r="S37" i="21"/>
  <c r="S43" i="21"/>
  <c r="U37" i="21"/>
  <c r="U43" i="21"/>
  <c r="L38" i="21"/>
  <c r="L44" i="21"/>
  <c r="M38" i="21"/>
  <c r="M44" i="21"/>
  <c r="S38" i="21"/>
  <c r="S44" i="21"/>
  <c r="U38" i="21"/>
  <c r="U44" i="21"/>
  <c r="M45" i="21"/>
  <c r="L40" i="21"/>
  <c r="L72" i="21"/>
  <c r="M40" i="21"/>
  <c r="M72" i="21"/>
  <c r="O40" i="21"/>
  <c r="O72" i="21"/>
  <c r="S72" i="21"/>
  <c r="U40" i="21"/>
  <c r="I36" i="21"/>
  <c r="I42" i="21"/>
  <c r="J36" i="21"/>
  <c r="J42" i="21"/>
  <c r="K36" i="21"/>
  <c r="K42" i="21"/>
  <c r="I37" i="21"/>
  <c r="I43" i="21"/>
  <c r="J37" i="21"/>
  <c r="J43" i="21"/>
  <c r="K37" i="21"/>
  <c r="K43" i="21"/>
  <c r="I38" i="21"/>
  <c r="I44" i="21"/>
  <c r="J38" i="21"/>
  <c r="J44" i="21"/>
  <c r="K38" i="21"/>
  <c r="K44" i="21"/>
  <c r="J45" i="21"/>
  <c r="K45" i="21"/>
  <c r="I40" i="21"/>
  <c r="I46" i="21"/>
  <c r="J40" i="21"/>
  <c r="J72" i="21"/>
  <c r="K40" i="21"/>
  <c r="K72" i="21"/>
  <c r="D45" i="21"/>
  <c r="D44" i="21"/>
  <c r="D43" i="21"/>
  <c r="D36" i="21"/>
  <c r="AX38" i="22"/>
  <c r="AW41" i="22"/>
  <c r="AW39" i="22"/>
  <c r="AW38" i="22"/>
  <c r="AR38" i="22"/>
  <c r="X11" i="3"/>
  <c r="X9" i="3"/>
  <c r="AM9" i="3" s="1"/>
  <c r="H86" i="11"/>
  <c r="H85" i="11"/>
  <c r="AV35" i="3"/>
  <c r="J138" i="22"/>
  <c r="J136" i="22"/>
  <c r="J135" i="22"/>
  <c r="J129" i="22"/>
  <c r="J137" i="22"/>
  <c r="J130" i="22"/>
  <c r="U72" i="21"/>
  <c r="U46" i="21"/>
  <c r="J113" i="32"/>
  <c r="L141" i="32"/>
  <c r="K113" i="32"/>
  <c r="M115" i="32"/>
  <c r="N127" i="32"/>
  <c r="J135" i="32"/>
  <c r="L136" i="32"/>
  <c r="J118" i="32"/>
  <c r="M131" i="32"/>
  <c r="L115" i="32"/>
  <c r="J131" i="32"/>
  <c r="K136" i="32"/>
  <c r="M116" i="32"/>
  <c r="L132" i="32"/>
  <c r="K127" i="32"/>
  <c r="J130" i="32"/>
  <c r="J128" i="22"/>
  <c r="J127" i="22"/>
  <c r="O71" i="21"/>
  <c r="L71" i="21"/>
  <c r="L42" i="21"/>
  <c r="U71" i="21"/>
  <c r="M46" i="21"/>
  <c r="L46" i="21"/>
  <c r="S71" i="21"/>
  <c r="K71" i="21"/>
  <c r="J46" i="21"/>
  <c r="J71" i="21"/>
  <c r="K46" i="21"/>
  <c r="I71" i="21"/>
  <c r="M71" i="21"/>
  <c r="M43" i="21"/>
  <c r="O42" i="21"/>
  <c r="I72" i="21"/>
  <c r="D71" i="21"/>
  <c r="D42" i="21"/>
  <c r="O46" i="21"/>
  <c r="M126" i="32"/>
  <c r="M125" i="32"/>
  <c r="O129" i="32"/>
  <c r="M113" i="32"/>
  <c r="N132" i="32"/>
  <c r="M134" i="32"/>
  <c r="N128" i="32"/>
  <c r="N133" i="32"/>
  <c r="L129" i="32"/>
  <c r="M127" i="32"/>
  <c r="O116" i="32"/>
  <c r="L114" i="32"/>
  <c r="P9" i="21"/>
  <c r="P10" i="21"/>
  <c r="P11" i="21"/>
  <c r="P12" i="21"/>
  <c r="P13" i="21"/>
  <c r="P14" i="21"/>
  <c r="P15" i="21"/>
  <c r="P16" i="21"/>
  <c r="P17" i="21"/>
  <c r="P18" i="21"/>
  <c r="P19" i="21"/>
  <c r="P20" i="21"/>
  <c r="P21" i="21"/>
  <c r="P22" i="21"/>
  <c r="P23" i="21"/>
  <c r="P24" i="21"/>
  <c r="P25" i="21"/>
  <c r="P26" i="21"/>
  <c r="P27" i="21"/>
  <c r="P28" i="21"/>
  <c r="P29" i="21"/>
  <c r="P30" i="21"/>
  <c r="P31" i="21"/>
  <c r="P32" i="21"/>
  <c r="P33" i="21"/>
  <c r="P3" i="21"/>
  <c r="P4" i="21"/>
  <c r="P5" i="21"/>
  <c r="P6" i="21"/>
  <c r="P7" i="21"/>
  <c r="N3" i="21"/>
  <c r="N4" i="21"/>
  <c r="N5" i="21"/>
  <c r="N6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28" i="21"/>
  <c r="N29" i="21"/>
  <c r="N30" i="21"/>
  <c r="N31" i="21"/>
  <c r="N32" i="21"/>
  <c r="N33" i="21"/>
  <c r="N7" i="21"/>
  <c r="P39" i="21"/>
  <c r="N39" i="21"/>
  <c r="V39" i="21"/>
  <c r="V45" i="21"/>
  <c r="P119" i="32"/>
  <c r="R127" i="32"/>
  <c r="N135" i="32"/>
  <c r="P141" i="32"/>
  <c r="N131" i="32"/>
  <c r="N138" i="32"/>
  <c r="O114" i="32"/>
  <c r="O113" i="32"/>
  <c r="O125" i="32"/>
  <c r="O128" i="32"/>
  <c r="V22" i="21"/>
  <c r="Y22" i="21"/>
  <c r="P38" i="21"/>
  <c r="P44" i="21"/>
  <c r="P45" i="21"/>
  <c r="N37" i="21"/>
  <c r="N38" i="21"/>
  <c r="N36" i="21"/>
  <c r="P40" i="21"/>
  <c r="V3" i="21"/>
  <c r="Y3" i="21"/>
  <c r="N40" i="21"/>
  <c r="P37" i="21"/>
  <c r="P43" i="21"/>
  <c r="AR39" i="22"/>
  <c r="AS39" i="22"/>
  <c r="AR40" i="22"/>
  <c r="AS40" i="22"/>
  <c r="AR41" i="22"/>
  <c r="AS41" i="22"/>
  <c r="AR42" i="22"/>
  <c r="AS42" i="22"/>
  <c r="AR43" i="22"/>
  <c r="AS43" i="22"/>
  <c r="AR44" i="22"/>
  <c r="AS44" i="22"/>
  <c r="AR45" i="22"/>
  <c r="AS45" i="22"/>
  <c r="AR47" i="22"/>
  <c r="AS47" i="22"/>
  <c r="AR48" i="22"/>
  <c r="AS48" i="22"/>
  <c r="AR50" i="22"/>
  <c r="AS50" i="22"/>
  <c r="AR51" i="22"/>
  <c r="AS51" i="22"/>
  <c r="AR52" i="22"/>
  <c r="AR53" i="22"/>
  <c r="AS53" i="22"/>
  <c r="AR54" i="22"/>
  <c r="AS54" i="22"/>
  <c r="AR55" i="22"/>
  <c r="AS55" i="22"/>
  <c r="AR56" i="22"/>
  <c r="AS56" i="22"/>
  <c r="AR57" i="22"/>
  <c r="AR59" i="22"/>
  <c r="AS59" i="22"/>
  <c r="AR60" i="22"/>
  <c r="AS60" i="22"/>
  <c r="AR62" i="22"/>
  <c r="AS62" i="22"/>
  <c r="AR63" i="22"/>
  <c r="AS63" i="22"/>
  <c r="AR64" i="22"/>
  <c r="AS64" i="22"/>
  <c r="AR65" i="22"/>
  <c r="AS65" i="22"/>
  <c r="AR66" i="22"/>
  <c r="AS66" i="22"/>
  <c r="AR67" i="22"/>
  <c r="AS67" i="22"/>
  <c r="H74" i="11"/>
  <c r="F89" i="11"/>
  <c r="F88" i="11"/>
  <c r="N51" i="25"/>
  <c r="AQ72" i="22"/>
  <c r="AP72" i="22"/>
  <c r="AO72" i="22"/>
  <c r="AN72" i="22"/>
  <c r="AM72" i="22"/>
  <c r="AL72" i="22"/>
  <c r="AK72" i="22"/>
  <c r="AJ72" i="22"/>
  <c r="AI72" i="22"/>
  <c r="AH72" i="22"/>
  <c r="AG72" i="22"/>
  <c r="AF72" i="22"/>
  <c r="AE72" i="22"/>
  <c r="AD72" i="22"/>
  <c r="AC72" i="22"/>
  <c r="AB72" i="22"/>
  <c r="AA72" i="22"/>
  <c r="Z72" i="22"/>
  <c r="Y72" i="22"/>
  <c r="X72" i="22"/>
  <c r="W72" i="22"/>
  <c r="V72" i="22"/>
  <c r="U72" i="22"/>
  <c r="T72" i="22"/>
  <c r="S72" i="22"/>
  <c r="R72" i="22"/>
  <c r="Q72" i="22"/>
  <c r="P72" i="22"/>
  <c r="O72" i="22"/>
  <c r="N72" i="22"/>
  <c r="M72" i="22"/>
  <c r="L72" i="22"/>
  <c r="K72" i="22"/>
  <c r="J72" i="22"/>
  <c r="I72" i="22"/>
  <c r="AU67" i="22"/>
  <c r="AV66" i="22"/>
  <c r="AU66" i="22"/>
  <c r="AV65" i="22"/>
  <c r="AU65" i="22"/>
  <c r="AX64" i="22"/>
  <c r="AV64" i="22"/>
  <c r="AU64" i="22"/>
  <c r="AX63" i="22"/>
  <c r="AV63" i="22"/>
  <c r="AU63" i="22"/>
  <c r="AX62" i="22"/>
  <c r="AV62" i="22"/>
  <c r="AU62" i="22"/>
  <c r="AX61" i="22"/>
  <c r="AV61" i="22"/>
  <c r="AU61" i="22"/>
  <c r="AX60" i="22"/>
  <c r="AV60" i="22"/>
  <c r="AU60" i="22"/>
  <c r="AX59" i="22"/>
  <c r="AV59" i="22"/>
  <c r="AU59" i="22"/>
  <c r="AX58" i="22"/>
  <c r="AV58" i="22"/>
  <c r="AU58" i="22"/>
  <c r="AX57" i="22"/>
  <c r="AW57" i="22"/>
  <c r="AV57" i="22"/>
  <c r="AU57" i="22"/>
  <c r="AX56" i="22"/>
  <c r="AW56" i="22"/>
  <c r="AV56" i="22"/>
  <c r="AU56" i="22"/>
  <c r="AX55" i="22"/>
  <c r="AW55" i="22"/>
  <c r="AV55" i="22"/>
  <c r="AU55" i="22"/>
  <c r="AX54" i="22"/>
  <c r="AW54" i="22"/>
  <c r="AV54" i="22"/>
  <c r="AU54" i="22"/>
  <c r="AX53" i="22"/>
  <c r="AW53" i="22"/>
  <c r="AV53" i="22"/>
  <c r="AU53" i="22"/>
  <c r="AX52" i="22"/>
  <c r="AW52" i="22"/>
  <c r="AV52" i="22"/>
  <c r="AU52" i="22"/>
  <c r="AX51" i="22"/>
  <c r="AW51" i="22"/>
  <c r="AV51" i="22"/>
  <c r="AU51" i="22"/>
  <c r="AW50" i="22"/>
  <c r="AV50" i="22"/>
  <c r="AU50" i="22"/>
  <c r="AW49" i="22"/>
  <c r="AV49" i="22"/>
  <c r="AU49" i="22"/>
  <c r="AW48" i="22"/>
  <c r="AV48" i="22"/>
  <c r="AU48" i="22"/>
  <c r="AX47" i="22"/>
  <c r="AW47" i="22"/>
  <c r="AV47" i="22"/>
  <c r="AU47" i="22"/>
  <c r="AW46" i="22"/>
  <c r="AV46" i="22"/>
  <c r="AU46" i="22"/>
  <c r="AX45" i="22"/>
  <c r="AW45" i="22"/>
  <c r="AV45" i="22"/>
  <c r="AU45" i="22"/>
  <c r="AX44" i="22"/>
  <c r="AW44" i="22"/>
  <c r="AV44" i="22"/>
  <c r="AU44" i="22"/>
  <c r="AX43" i="22"/>
  <c r="AW43" i="22"/>
  <c r="AV43" i="22"/>
  <c r="AU43" i="22"/>
  <c r="AX42" i="22"/>
  <c r="AW42" i="22"/>
  <c r="AV42" i="22"/>
  <c r="AU42" i="22"/>
  <c r="AX41" i="22"/>
  <c r="AV41" i="22"/>
  <c r="AU41" i="22"/>
  <c r="AX40" i="22"/>
  <c r="AW40" i="22"/>
  <c r="AV40" i="22"/>
  <c r="AU40" i="22"/>
  <c r="AX39" i="22"/>
  <c r="AV39" i="22"/>
  <c r="AV38" i="22"/>
  <c r="AS36" i="22"/>
  <c r="AS35" i="22"/>
  <c r="AS34" i="22"/>
  <c r="AS33" i="22"/>
  <c r="AS32" i="22"/>
  <c r="AS31" i="22"/>
  <c r="AS30" i="22"/>
  <c r="AS29" i="22"/>
  <c r="AS28" i="22"/>
  <c r="AS27" i="22"/>
  <c r="AS26" i="22"/>
  <c r="AS25" i="22"/>
  <c r="AS24" i="22"/>
  <c r="AS23" i="22"/>
  <c r="AS22" i="22"/>
  <c r="AS21" i="22"/>
  <c r="AS20" i="22"/>
  <c r="AS19" i="22"/>
  <c r="AS18" i="22"/>
  <c r="AS17" i="22"/>
  <c r="AS16" i="22"/>
  <c r="AS15" i="22"/>
  <c r="AS14" i="22"/>
  <c r="AS13" i="22"/>
  <c r="AS12" i="22"/>
  <c r="AS11" i="22"/>
  <c r="AS10" i="22"/>
  <c r="AS9" i="22"/>
  <c r="AS8" i="22"/>
  <c r="AS7" i="22"/>
  <c r="AS6" i="22"/>
  <c r="AA12" i="12"/>
  <c r="AB12" i="12"/>
  <c r="AC12" i="12"/>
  <c r="AD12" i="12"/>
  <c r="AE12" i="12"/>
  <c r="AF12" i="12"/>
  <c r="AG12" i="12"/>
  <c r="AH12" i="12"/>
  <c r="AA13" i="12"/>
  <c r="AB13" i="12"/>
  <c r="AC13" i="12"/>
  <c r="AD13" i="12"/>
  <c r="AE13" i="12"/>
  <c r="AF13" i="12"/>
  <c r="AG13" i="12"/>
  <c r="AH13" i="12"/>
  <c r="AA14" i="12"/>
  <c r="AB14" i="12"/>
  <c r="AC14" i="12"/>
  <c r="AD14" i="12"/>
  <c r="AE14" i="12"/>
  <c r="AF14" i="12"/>
  <c r="AG14" i="12"/>
  <c r="AH14" i="12"/>
  <c r="AA15" i="12"/>
  <c r="AB15" i="12"/>
  <c r="AC15" i="12"/>
  <c r="AD15" i="12"/>
  <c r="AE15" i="12"/>
  <c r="AF15" i="12"/>
  <c r="AG15" i="12"/>
  <c r="AH15" i="12"/>
  <c r="AH11" i="12"/>
  <c r="AG11" i="12"/>
  <c r="AF11" i="12"/>
  <c r="AE11" i="12"/>
  <c r="AD11" i="12"/>
  <c r="AC11" i="12"/>
  <c r="AB11" i="12"/>
  <c r="AA11" i="12"/>
  <c r="Z12" i="12"/>
  <c r="Z13" i="12"/>
  <c r="Z14" i="12"/>
  <c r="Z15" i="12"/>
  <c r="Z11" i="12"/>
  <c r="V19" i="21"/>
  <c r="Y19" i="21"/>
  <c r="V12" i="21"/>
  <c r="Y12" i="21"/>
  <c r="P8" i="21"/>
  <c r="P36" i="21"/>
  <c r="V6" i="21"/>
  <c r="Y6" i="21"/>
  <c r="V4" i="21"/>
  <c r="Y4" i="21"/>
  <c r="V33" i="21"/>
  <c r="Y33" i="21"/>
  <c r="V24" i="21"/>
  <c r="Y24" i="21"/>
  <c r="V23" i="21"/>
  <c r="Y23" i="21"/>
  <c r="V20" i="21"/>
  <c r="Y20" i="21"/>
  <c r="V11" i="21"/>
  <c r="Y11" i="21"/>
  <c r="C61" i="21"/>
  <c r="C60" i="21"/>
  <c r="C59" i="21"/>
  <c r="C58" i="21"/>
  <c r="C57" i="21"/>
  <c r="C56" i="21"/>
  <c r="C55" i="21"/>
  <c r="C54" i="21"/>
  <c r="C53" i="21"/>
  <c r="C52" i="21"/>
  <c r="C51" i="21"/>
  <c r="C50" i="21"/>
  <c r="V14" i="21"/>
  <c r="Y14" i="21"/>
  <c r="V5" i="21"/>
  <c r="Y5" i="21"/>
  <c r="V13" i="21"/>
  <c r="Y13" i="21"/>
  <c r="V15" i="21"/>
  <c r="Y15" i="21"/>
  <c r="AJ34" i="11"/>
  <c r="AI36" i="11"/>
  <c r="AJ36" i="11"/>
  <c r="AI23" i="11"/>
  <c r="AJ23" i="11"/>
  <c r="AI18" i="11"/>
  <c r="AJ18" i="11"/>
  <c r="AI10" i="11"/>
  <c r="AJ10" i="11"/>
  <c r="I8" i="11"/>
  <c r="H8" i="11"/>
  <c r="BS6" i="14"/>
  <c r="BQ10" i="14"/>
  <c r="CX10" i="14"/>
  <c r="AL15" i="14"/>
  <c r="BS15" i="14"/>
  <c r="AL10" i="14"/>
  <c r="BS10" i="14"/>
  <c r="AL9" i="14"/>
  <c r="BS9" i="14"/>
  <c r="BQ20" i="14"/>
  <c r="CX20" i="14"/>
  <c r="BP20" i="14"/>
  <c r="CW20" i="14"/>
  <c r="BO20" i="14"/>
  <c r="CV20" i="14"/>
  <c r="BN20" i="14"/>
  <c r="CU20" i="14"/>
  <c r="BM20" i="14"/>
  <c r="CT20" i="14"/>
  <c r="BL20" i="14"/>
  <c r="CS20" i="14"/>
  <c r="BK20" i="14"/>
  <c r="CR20" i="14"/>
  <c r="BJ20" i="14"/>
  <c r="CQ20" i="14"/>
  <c r="BI20" i="14"/>
  <c r="CP20" i="14"/>
  <c r="BH20" i="14"/>
  <c r="CO20" i="14"/>
  <c r="BG20" i="14"/>
  <c r="CN20" i="14"/>
  <c r="BF20" i="14"/>
  <c r="CM20" i="14"/>
  <c r="BE20" i="14"/>
  <c r="CL20" i="14"/>
  <c r="BD20" i="14"/>
  <c r="CK20" i="14"/>
  <c r="BC20" i="14"/>
  <c r="CJ20" i="14"/>
  <c r="BB20" i="14"/>
  <c r="CI20" i="14"/>
  <c r="BA20" i="14"/>
  <c r="CH20" i="14"/>
  <c r="AZ20" i="14"/>
  <c r="CG20" i="14"/>
  <c r="AY20" i="14"/>
  <c r="CF20" i="14"/>
  <c r="AX20" i="14"/>
  <c r="CE20" i="14"/>
  <c r="AW20" i="14"/>
  <c r="CD20" i="14"/>
  <c r="AV20" i="14"/>
  <c r="CC20" i="14"/>
  <c r="AU20" i="14"/>
  <c r="CB20" i="14"/>
  <c r="AT20" i="14"/>
  <c r="CA20" i="14"/>
  <c r="AS20" i="14"/>
  <c r="BZ20" i="14"/>
  <c r="AR20" i="14"/>
  <c r="BY20" i="14"/>
  <c r="AQ20" i="14"/>
  <c r="BX20" i="14"/>
  <c r="AP20" i="14"/>
  <c r="BW20" i="14"/>
  <c r="AO20" i="14"/>
  <c r="BV20" i="14"/>
  <c r="AN20" i="14"/>
  <c r="BU20" i="14"/>
  <c r="AM20" i="14"/>
  <c r="BT20" i="14"/>
  <c r="AL20" i="14"/>
  <c r="BS20" i="14"/>
  <c r="BQ19" i="14"/>
  <c r="CX19" i="14"/>
  <c r="BP19" i="14"/>
  <c r="CW19" i="14"/>
  <c r="BO19" i="14"/>
  <c r="CV19" i="14"/>
  <c r="BN19" i="14"/>
  <c r="CU19" i="14"/>
  <c r="BM19" i="14"/>
  <c r="CT19" i="14"/>
  <c r="BL19" i="14"/>
  <c r="CS19" i="14"/>
  <c r="BK19" i="14"/>
  <c r="CR19" i="14"/>
  <c r="BJ19" i="14"/>
  <c r="CQ19" i="14"/>
  <c r="BI19" i="14"/>
  <c r="CP19" i="14"/>
  <c r="BH19" i="14"/>
  <c r="CO19" i="14"/>
  <c r="BG19" i="14"/>
  <c r="CN19" i="14"/>
  <c r="BF19" i="14"/>
  <c r="CM19" i="14"/>
  <c r="BE19" i="14"/>
  <c r="CL19" i="14"/>
  <c r="BD19" i="14"/>
  <c r="CK19" i="14"/>
  <c r="BC19" i="14"/>
  <c r="CJ19" i="14"/>
  <c r="BB19" i="14"/>
  <c r="CI19" i="14"/>
  <c r="BA19" i="14"/>
  <c r="CH19" i="14"/>
  <c r="AZ19" i="14"/>
  <c r="CG19" i="14"/>
  <c r="AY19" i="14"/>
  <c r="CF19" i="14"/>
  <c r="AX19" i="14"/>
  <c r="CE19" i="14"/>
  <c r="AW19" i="14"/>
  <c r="CD19" i="14"/>
  <c r="AV19" i="14"/>
  <c r="CC19" i="14"/>
  <c r="AU19" i="14"/>
  <c r="CB19" i="14"/>
  <c r="AT19" i="14"/>
  <c r="CA19" i="14"/>
  <c r="AS19" i="14"/>
  <c r="BZ19" i="14"/>
  <c r="AR19" i="14"/>
  <c r="BY19" i="14"/>
  <c r="AQ19" i="14"/>
  <c r="BX19" i="14"/>
  <c r="AP19" i="14"/>
  <c r="BW19" i="14"/>
  <c r="AO19" i="14"/>
  <c r="BV19" i="14"/>
  <c r="AN19" i="14"/>
  <c r="BU19" i="14"/>
  <c r="AM19" i="14"/>
  <c r="BT19" i="14"/>
  <c r="AL19" i="14"/>
  <c r="BS19" i="14"/>
  <c r="BQ15" i="14"/>
  <c r="CX15" i="14"/>
  <c r="BP15" i="14"/>
  <c r="CW15" i="14"/>
  <c r="BO15" i="14"/>
  <c r="CV15" i="14"/>
  <c r="BN15" i="14"/>
  <c r="CU15" i="14"/>
  <c r="BM15" i="14"/>
  <c r="CT15" i="14"/>
  <c r="BL15" i="14"/>
  <c r="CS15" i="14"/>
  <c r="BK15" i="14"/>
  <c r="CR15" i="14"/>
  <c r="BJ15" i="14"/>
  <c r="CQ15" i="14"/>
  <c r="BI15" i="14"/>
  <c r="CP15" i="14"/>
  <c r="BH15" i="14"/>
  <c r="CO15" i="14"/>
  <c r="BG15" i="14"/>
  <c r="CN15" i="14"/>
  <c r="BF15" i="14"/>
  <c r="CM15" i="14"/>
  <c r="BE15" i="14"/>
  <c r="CL15" i="14"/>
  <c r="BD15" i="14"/>
  <c r="CK15" i="14"/>
  <c r="BC15" i="14"/>
  <c r="CJ15" i="14"/>
  <c r="BB15" i="14"/>
  <c r="CI15" i="14"/>
  <c r="BA15" i="14"/>
  <c r="CH15" i="14"/>
  <c r="AZ15" i="14"/>
  <c r="CG15" i="14"/>
  <c r="AY15" i="14"/>
  <c r="CF15" i="14"/>
  <c r="AX15" i="14"/>
  <c r="CE15" i="14"/>
  <c r="AW15" i="14"/>
  <c r="CD15" i="14"/>
  <c r="AV15" i="14"/>
  <c r="CC15" i="14"/>
  <c r="AU15" i="14"/>
  <c r="CB15" i="14"/>
  <c r="AT15" i="14"/>
  <c r="CA15" i="14"/>
  <c r="AS15" i="14"/>
  <c r="BZ15" i="14"/>
  <c r="AR15" i="14"/>
  <c r="BY15" i="14"/>
  <c r="AQ15" i="14"/>
  <c r="BX15" i="14"/>
  <c r="AP15" i="14"/>
  <c r="BW15" i="14"/>
  <c r="AO15" i="14"/>
  <c r="BV15" i="14"/>
  <c r="AN15" i="14"/>
  <c r="BU15" i="14"/>
  <c r="AM15" i="14"/>
  <c r="BT15" i="14"/>
  <c r="BQ14" i="14"/>
  <c r="CX14" i="14"/>
  <c r="BP14" i="14"/>
  <c r="CW14" i="14"/>
  <c r="BO14" i="14"/>
  <c r="CV14" i="14"/>
  <c r="BN14" i="14"/>
  <c r="CU14" i="14"/>
  <c r="BM14" i="14"/>
  <c r="CT14" i="14"/>
  <c r="BL14" i="14"/>
  <c r="CS14" i="14"/>
  <c r="BK14" i="14"/>
  <c r="CR14" i="14"/>
  <c r="BJ14" i="14"/>
  <c r="CQ14" i="14"/>
  <c r="BI14" i="14"/>
  <c r="CP14" i="14"/>
  <c r="BH14" i="14"/>
  <c r="CO14" i="14"/>
  <c r="BG14" i="14"/>
  <c r="CN14" i="14"/>
  <c r="BF14" i="14"/>
  <c r="CM14" i="14"/>
  <c r="BE14" i="14"/>
  <c r="CL14" i="14"/>
  <c r="BD14" i="14"/>
  <c r="CK14" i="14"/>
  <c r="BC14" i="14"/>
  <c r="CJ14" i="14"/>
  <c r="BB14" i="14"/>
  <c r="CI14" i="14"/>
  <c r="BA14" i="14"/>
  <c r="CH14" i="14"/>
  <c r="AZ14" i="14"/>
  <c r="CG14" i="14"/>
  <c r="AY14" i="14"/>
  <c r="CF14" i="14"/>
  <c r="AX14" i="14"/>
  <c r="CE14" i="14"/>
  <c r="AW14" i="14"/>
  <c r="CD14" i="14"/>
  <c r="AV14" i="14"/>
  <c r="CC14" i="14"/>
  <c r="AU14" i="14"/>
  <c r="CB14" i="14"/>
  <c r="AT14" i="14"/>
  <c r="CA14" i="14"/>
  <c r="AS14" i="14"/>
  <c r="BZ14" i="14"/>
  <c r="AR14" i="14"/>
  <c r="BY14" i="14"/>
  <c r="AQ14" i="14"/>
  <c r="BX14" i="14"/>
  <c r="AP14" i="14"/>
  <c r="BW14" i="14"/>
  <c r="AO14" i="14"/>
  <c r="BV14" i="14"/>
  <c r="AN14" i="14"/>
  <c r="BU14" i="14"/>
  <c r="AM14" i="14"/>
  <c r="BT14" i="14"/>
  <c r="AL14" i="14"/>
  <c r="BS14" i="14"/>
  <c r="BP10" i="14"/>
  <c r="CW10" i="14"/>
  <c r="BO10" i="14"/>
  <c r="CV10" i="14"/>
  <c r="BN10" i="14"/>
  <c r="CU10" i="14"/>
  <c r="BM10" i="14"/>
  <c r="CT10" i="14"/>
  <c r="BL10" i="14"/>
  <c r="CS10" i="14"/>
  <c r="BK10" i="14"/>
  <c r="CR10" i="14"/>
  <c r="BJ10" i="14"/>
  <c r="CQ10" i="14"/>
  <c r="BI10" i="14"/>
  <c r="CP10" i="14"/>
  <c r="BH10" i="14"/>
  <c r="CO10" i="14"/>
  <c r="BG10" i="14"/>
  <c r="CN10" i="14"/>
  <c r="BF10" i="14"/>
  <c r="CM10" i="14"/>
  <c r="BE10" i="14"/>
  <c r="CL10" i="14"/>
  <c r="BD10" i="14"/>
  <c r="CK10" i="14"/>
  <c r="BC10" i="14"/>
  <c r="CJ10" i="14"/>
  <c r="BB10" i="14"/>
  <c r="CI10" i="14"/>
  <c r="BA10" i="14"/>
  <c r="CH10" i="14"/>
  <c r="AZ10" i="14"/>
  <c r="CG10" i="14"/>
  <c r="AY10" i="14"/>
  <c r="CF10" i="14"/>
  <c r="AX10" i="14"/>
  <c r="CE10" i="14"/>
  <c r="AW10" i="14"/>
  <c r="CD10" i="14"/>
  <c r="AV10" i="14"/>
  <c r="CC10" i="14"/>
  <c r="AU10" i="14"/>
  <c r="CB10" i="14"/>
  <c r="AT10" i="14"/>
  <c r="CA10" i="14"/>
  <c r="AS10" i="14"/>
  <c r="BZ10" i="14"/>
  <c r="AR10" i="14"/>
  <c r="BY10" i="14"/>
  <c r="AQ10" i="14"/>
  <c r="BX10" i="14"/>
  <c r="AP10" i="14"/>
  <c r="BW10" i="14"/>
  <c r="AO10" i="14"/>
  <c r="BV10" i="14"/>
  <c r="AN10" i="14"/>
  <c r="BU10" i="14"/>
  <c r="AM10" i="14"/>
  <c r="BT10" i="14"/>
  <c r="BQ9" i="14"/>
  <c r="CX9" i="14"/>
  <c r="BP9" i="14"/>
  <c r="CW9" i="14"/>
  <c r="BO9" i="14"/>
  <c r="CV9" i="14"/>
  <c r="BN9" i="14"/>
  <c r="CU9" i="14"/>
  <c r="BM9" i="14"/>
  <c r="CT9" i="14"/>
  <c r="BL9" i="14"/>
  <c r="CS9" i="14"/>
  <c r="BK9" i="14"/>
  <c r="CR9" i="14"/>
  <c r="BJ9" i="14"/>
  <c r="CQ9" i="14"/>
  <c r="BI9" i="14"/>
  <c r="CP9" i="14"/>
  <c r="BH9" i="14"/>
  <c r="CO9" i="14"/>
  <c r="BG9" i="14"/>
  <c r="CN9" i="14"/>
  <c r="BF9" i="14"/>
  <c r="CM9" i="14"/>
  <c r="BE9" i="14"/>
  <c r="CL9" i="14"/>
  <c r="BD9" i="14"/>
  <c r="CK9" i="14"/>
  <c r="BC9" i="14"/>
  <c r="CJ9" i="14"/>
  <c r="BB9" i="14"/>
  <c r="CI9" i="14"/>
  <c r="BA9" i="14"/>
  <c r="CH9" i="14"/>
  <c r="AZ9" i="14"/>
  <c r="CG9" i="14"/>
  <c r="AY9" i="14"/>
  <c r="CF9" i="14"/>
  <c r="AX9" i="14"/>
  <c r="CE9" i="14"/>
  <c r="AW9" i="14"/>
  <c r="CD9" i="14"/>
  <c r="AV9" i="14"/>
  <c r="CC9" i="14"/>
  <c r="AU9" i="14"/>
  <c r="CB9" i="14"/>
  <c r="AT9" i="14"/>
  <c r="CA9" i="14"/>
  <c r="AS9" i="14"/>
  <c r="BZ9" i="14"/>
  <c r="AR9" i="14"/>
  <c r="BY9" i="14"/>
  <c r="AQ9" i="14"/>
  <c r="BX9" i="14"/>
  <c r="AP9" i="14"/>
  <c r="BW9" i="14"/>
  <c r="AO9" i="14"/>
  <c r="BV9" i="14"/>
  <c r="AN9" i="14"/>
  <c r="BU9" i="14"/>
  <c r="AM9" i="14"/>
  <c r="BT9" i="14"/>
  <c r="AW5" i="14"/>
  <c r="CD5" i="14"/>
  <c r="AM4" i="14"/>
  <c r="BT4" i="14"/>
  <c r="AN4" i="14"/>
  <c r="BU4" i="14"/>
  <c r="AO4" i="14"/>
  <c r="BV4" i="14"/>
  <c r="AP4" i="14"/>
  <c r="BW4" i="14"/>
  <c r="AQ4" i="14"/>
  <c r="BX4" i="14"/>
  <c r="AR4" i="14"/>
  <c r="BY4" i="14"/>
  <c r="AS4" i="14"/>
  <c r="BZ4" i="14"/>
  <c r="AT4" i="14"/>
  <c r="CA4" i="14"/>
  <c r="AU4" i="14"/>
  <c r="CB4" i="14"/>
  <c r="AV4" i="14"/>
  <c r="CC4" i="14"/>
  <c r="AW4" i="14"/>
  <c r="CD4" i="14"/>
  <c r="AX4" i="14"/>
  <c r="CE4" i="14"/>
  <c r="AY4" i="14"/>
  <c r="CF4" i="14"/>
  <c r="AZ4" i="14"/>
  <c r="CG4" i="14"/>
  <c r="BA4" i="14"/>
  <c r="CH4" i="14"/>
  <c r="BB4" i="14"/>
  <c r="CI4" i="14"/>
  <c r="BC4" i="14"/>
  <c r="CJ4" i="14"/>
  <c r="BD4" i="14"/>
  <c r="CK4" i="14"/>
  <c r="BE4" i="14"/>
  <c r="CL4" i="14"/>
  <c r="BF4" i="14"/>
  <c r="CM4" i="14"/>
  <c r="BG4" i="14"/>
  <c r="CN4" i="14"/>
  <c r="BH4" i="14"/>
  <c r="CO4" i="14"/>
  <c r="BI4" i="14"/>
  <c r="CP4" i="14"/>
  <c r="BJ4" i="14"/>
  <c r="CQ4" i="14"/>
  <c r="BK4" i="14"/>
  <c r="CR4" i="14"/>
  <c r="BL4" i="14"/>
  <c r="CS4" i="14"/>
  <c r="BM4" i="14"/>
  <c r="CT4" i="14"/>
  <c r="BN4" i="14"/>
  <c r="CU4" i="14"/>
  <c r="BO4" i="14"/>
  <c r="CV4" i="14"/>
  <c r="BP4" i="14"/>
  <c r="CW4" i="14"/>
  <c r="BQ4" i="14"/>
  <c r="CX4" i="14"/>
  <c r="AM5" i="14"/>
  <c r="BT5" i="14"/>
  <c r="AN5" i="14"/>
  <c r="BU5" i="14"/>
  <c r="AO5" i="14"/>
  <c r="BV5" i="14"/>
  <c r="AP5" i="14"/>
  <c r="BW5" i="14"/>
  <c r="AQ5" i="14"/>
  <c r="BX5" i="14"/>
  <c r="AR5" i="14"/>
  <c r="BY5" i="14"/>
  <c r="AS5" i="14"/>
  <c r="BZ5" i="14"/>
  <c r="AT5" i="14"/>
  <c r="CA5" i="14"/>
  <c r="AU5" i="14"/>
  <c r="CB5" i="14"/>
  <c r="AV5" i="14"/>
  <c r="CC5" i="14"/>
  <c r="AX5" i="14"/>
  <c r="CE5" i="14"/>
  <c r="AY5" i="14"/>
  <c r="CF5" i="14"/>
  <c r="AZ5" i="14"/>
  <c r="CG5" i="14"/>
  <c r="BA5" i="14"/>
  <c r="CH5" i="14"/>
  <c r="BB5" i="14"/>
  <c r="CI5" i="14"/>
  <c r="BC5" i="14"/>
  <c r="CJ5" i="14"/>
  <c r="BD5" i="14"/>
  <c r="CK5" i="14"/>
  <c r="BE5" i="14"/>
  <c r="CL5" i="14"/>
  <c r="BF5" i="14"/>
  <c r="CM5" i="14"/>
  <c r="BG5" i="14"/>
  <c r="CN5" i="14"/>
  <c r="BH5" i="14"/>
  <c r="CO5" i="14"/>
  <c r="BI5" i="14"/>
  <c r="CP5" i="14"/>
  <c r="BJ5" i="14"/>
  <c r="CQ5" i="14"/>
  <c r="BK5" i="14"/>
  <c r="CR5" i="14"/>
  <c r="BL5" i="14"/>
  <c r="CS5" i="14"/>
  <c r="BM5" i="14"/>
  <c r="CT5" i="14"/>
  <c r="BN5" i="14"/>
  <c r="CU5" i="14"/>
  <c r="BO5" i="14"/>
  <c r="CV5" i="14"/>
  <c r="BP5" i="14"/>
  <c r="CW5" i="14"/>
  <c r="BQ5" i="14"/>
  <c r="CX5" i="14"/>
  <c r="AL5" i="14"/>
  <c r="BS5" i="14"/>
  <c r="AL4" i="14"/>
  <c r="BS4" i="14"/>
  <c r="DC4" i="14"/>
  <c r="DC7" i="14"/>
  <c r="DD4" i="14"/>
  <c r="DD7" i="14"/>
  <c r="DE4" i="14"/>
  <c r="DE7" i="14"/>
  <c r="DF4" i="14"/>
  <c r="DF7" i="14"/>
  <c r="DG4" i="14"/>
  <c r="DG7" i="14"/>
  <c r="DH4" i="14"/>
  <c r="DI4" i="14"/>
  <c r="DJ4" i="14"/>
  <c r="DK4" i="14"/>
  <c r="DL4" i="14"/>
  <c r="DL7" i="14"/>
  <c r="DM4" i="14"/>
  <c r="DM7" i="14"/>
  <c r="DN4" i="14"/>
  <c r="DN7" i="14"/>
  <c r="DO4" i="14"/>
  <c r="DO7" i="14"/>
  <c r="DP4" i="14"/>
  <c r="DP7" i="14"/>
  <c r="DQ4" i="14"/>
  <c r="DQ7" i="14"/>
  <c r="DR4" i="14"/>
  <c r="DR7" i="14"/>
  <c r="DS4" i="14"/>
  <c r="DS7" i="14"/>
  <c r="DT4" i="14"/>
  <c r="DT7" i="14"/>
  <c r="DU4" i="14"/>
  <c r="DU7" i="14"/>
  <c r="DV4" i="14"/>
  <c r="DV7" i="14"/>
  <c r="DW4" i="14"/>
  <c r="DW7" i="14"/>
  <c r="DX4" i="14"/>
  <c r="DX7" i="14"/>
  <c r="DY4" i="14"/>
  <c r="DY7" i="14"/>
  <c r="DZ4" i="14"/>
  <c r="DZ7" i="14"/>
  <c r="EA4" i="14"/>
  <c r="EA7" i="14"/>
  <c r="EB4" i="14"/>
  <c r="EC4" i="14"/>
  <c r="ED4" i="14"/>
  <c r="ED7" i="14"/>
  <c r="EE4" i="14"/>
  <c r="DA4" i="14"/>
  <c r="DA7" i="14"/>
  <c r="DB4" i="14"/>
  <c r="DB7" i="14"/>
  <c r="CZ4" i="14"/>
  <c r="DC19" i="14"/>
  <c r="DC22" i="14"/>
  <c r="EE19" i="14"/>
  <c r="ED19" i="14"/>
  <c r="ED22" i="14"/>
  <c r="EC19" i="14"/>
  <c r="EB19" i="14"/>
  <c r="EA19" i="14"/>
  <c r="EA22" i="14"/>
  <c r="DZ19" i="14"/>
  <c r="DZ22" i="14"/>
  <c r="DY19" i="14"/>
  <c r="DY22" i="14"/>
  <c r="DX19" i="14"/>
  <c r="DX22" i="14"/>
  <c r="DW19" i="14"/>
  <c r="DW22" i="14"/>
  <c r="DV19" i="14"/>
  <c r="DV22" i="14"/>
  <c r="DU19" i="14"/>
  <c r="DU22" i="14"/>
  <c r="DT19" i="14"/>
  <c r="DT22" i="14"/>
  <c r="DS19" i="14"/>
  <c r="DS22" i="14"/>
  <c r="DR19" i="14"/>
  <c r="DR22" i="14"/>
  <c r="DQ19" i="14"/>
  <c r="DQ22" i="14"/>
  <c r="DP19" i="14"/>
  <c r="DP22" i="14"/>
  <c r="DO19" i="14"/>
  <c r="DO22" i="14"/>
  <c r="DN19" i="14"/>
  <c r="DN22" i="14"/>
  <c r="DM19" i="14"/>
  <c r="DM22" i="14"/>
  <c r="DL19" i="14"/>
  <c r="DL22" i="14"/>
  <c r="DK19" i="14"/>
  <c r="DJ19" i="14"/>
  <c r="DI19" i="14"/>
  <c r="DH19" i="14"/>
  <c r="DG19" i="14"/>
  <c r="DG22" i="14"/>
  <c r="DF19" i="14"/>
  <c r="DF22" i="14"/>
  <c r="DE19" i="14"/>
  <c r="DE22" i="14"/>
  <c r="DD19" i="14"/>
  <c r="DD22" i="14"/>
  <c r="DB19" i="14"/>
  <c r="DB22" i="14"/>
  <c r="DA19" i="14"/>
  <c r="DA22" i="14"/>
  <c r="CZ19" i="14"/>
  <c r="EE14" i="14"/>
  <c r="ED14" i="14"/>
  <c r="ED17" i="14"/>
  <c r="EC14" i="14"/>
  <c r="EB14" i="14"/>
  <c r="EA14" i="14"/>
  <c r="EA17" i="14"/>
  <c r="DZ14" i="14"/>
  <c r="DZ17" i="14"/>
  <c r="DY14" i="14"/>
  <c r="DY17" i="14"/>
  <c r="DX14" i="14"/>
  <c r="DX17" i="14"/>
  <c r="DW14" i="14"/>
  <c r="DW17" i="14"/>
  <c r="DV14" i="14"/>
  <c r="DV17" i="14"/>
  <c r="DU14" i="14"/>
  <c r="DU17" i="14"/>
  <c r="DT14" i="14"/>
  <c r="DT17" i="14"/>
  <c r="DS14" i="14"/>
  <c r="DS17" i="14"/>
  <c r="DR14" i="14"/>
  <c r="DR17" i="14"/>
  <c r="DQ14" i="14"/>
  <c r="DQ17" i="14"/>
  <c r="DP14" i="14"/>
  <c r="DP17" i="14"/>
  <c r="DO14" i="14"/>
  <c r="DO17" i="14"/>
  <c r="DN14" i="14"/>
  <c r="DN17" i="14"/>
  <c r="DM14" i="14"/>
  <c r="DM17" i="14"/>
  <c r="DL14" i="14"/>
  <c r="DL17" i="14"/>
  <c r="DK14" i="14"/>
  <c r="DJ14" i="14"/>
  <c r="DI14" i="14"/>
  <c r="DH14" i="14"/>
  <c r="DG14" i="14"/>
  <c r="DG17" i="14"/>
  <c r="DF14" i="14"/>
  <c r="DF17" i="14"/>
  <c r="DE14" i="14"/>
  <c r="DE17" i="14"/>
  <c r="DD14" i="14"/>
  <c r="DD17" i="14"/>
  <c r="DC14" i="14"/>
  <c r="DC17" i="14"/>
  <c r="DB14" i="14"/>
  <c r="DB17" i="14"/>
  <c r="DA14" i="14"/>
  <c r="DA17" i="14"/>
  <c r="CZ14" i="14"/>
  <c r="EE9" i="14"/>
  <c r="ED9" i="14"/>
  <c r="ED12" i="14"/>
  <c r="EC9" i="14"/>
  <c r="EB9" i="14"/>
  <c r="EA9" i="14"/>
  <c r="EA12" i="14"/>
  <c r="DZ9" i="14"/>
  <c r="DZ12" i="14"/>
  <c r="DY9" i="14"/>
  <c r="DY12" i="14"/>
  <c r="DX9" i="14"/>
  <c r="DX12" i="14"/>
  <c r="DW9" i="14"/>
  <c r="DW12" i="14"/>
  <c r="DV9" i="14"/>
  <c r="DV12" i="14"/>
  <c r="DU9" i="14"/>
  <c r="DU12" i="14"/>
  <c r="DT9" i="14"/>
  <c r="DT12" i="14"/>
  <c r="DS9" i="14"/>
  <c r="DS12" i="14"/>
  <c r="DR9" i="14"/>
  <c r="DR12" i="14"/>
  <c r="DQ9" i="14"/>
  <c r="DQ12" i="14"/>
  <c r="DP9" i="14"/>
  <c r="DP12" i="14"/>
  <c r="DO9" i="14"/>
  <c r="DO12" i="14"/>
  <c r="DN9" i="14"/>
  <c r="DN12" i="14"/>
  <c r="DM9" i="14"/>
  <c r="DM12" i="14"/>
  <c r="DL9" i="14"/>
  <c r="DL12" i="14"/>
  <c r="DK9" i="14"/>
  <c r="DJ9" i="14"/>
  <c r="DI9" i="14"/>
  <c r="DH9" i="14"/>
  <c r="DG9" i="14"/>
  <c r="DG12" i="14"/>
  <c r="DF9" i="14"/>
  <c r="DF12" i="14"/>
  <c r="DE9" i="14"/>
  <c r="DE12" i="14"/>
  <c r="DD9" i="14"/>
  <c r="DD12" i="14"/>
  <c r="DC9" i="14"/>
  <c r="DC12" i="14"/>
  <c r="DB9" i="14"/>
  <c r="DB12" i="14"/>
  <c r="DA9" i="14"/>
  <c r="DA12" i="14"/>
  <c r="CZ9" i="14"/>
  <c r="H79" i="11"/>
  <c r="H80" i="11"/>
  <c r="H78" i="11"/>
  <c r="H64" i="11"/>
  <c r="H65" i="11"/>
  <c r="H66" i="11"/>
  <c r="H67" i="11"/>
  <c r="H68" i="11"/>
  <c r="H69" i="11"/>
  <c r="H70" i="11"/>
  <c r="H71" i="11"/>
  <c r="H72" i="11"/>
  <c r="H73" i="11"/>
  <c r="H63" i="11"/>
  <c r="H51" i="11"/>
  <c r="H52" i="11"/>
  <c r="H53" i="11"/>
  <c r="H54" i="11"/>
  <c r="H55" i="11"/>
  <c r="H56" i="11"/>
  <c r="H57" i="11"/>
  <c r="H58" i="11"/>
  <c r="H50" i="11"/>
  <c r="H45" i="11"/>
  <c r="H44" i="11"/>
  <c r="F7" i="11"/>
  <c r="J59" i="11"/>
  <c r="H59" i="11"/>
  <c r="H46" i="11"/>
  <c r="F9" i="11"/>
  <c r="AV4" i="3"/>
  <c r="AV5" i="3"/>
  <c r="AV6" i="3"/>
  <c r="AV7" i="3"/>
  <c r="AV8" i="3"/>
  <c r="AV9" i="3"/>
  <c r="AV10" i="3"/>
  <c r="AV11" i="3"/>
  <c r="AV19" i="3"/>
  <c r="AV20" i="3"/>
  <c r="AV21" i="3"/>
  <c r="AV12" i="3"/>
  <c r="AV13" i="3"/>
  <c r="AV14" i="3"/>
  <c r="AV15" i="3"/>
  <c r="AV16" i="3"/>
  <c r="AV18" i="3"/>
  <c r="AV17" i="3"/>
  <c r="AV22" i="3"/>
  <c r="AV23" i="3"/>
  <c r="AV24" i="3"/>
  <c r="AV26" i="3"/>
  <c r="AV28" i="3"/>
  <c r="AV29" i="3"/>
  <c r="AV31" i="3"/>
  <c r="AV32" i="3"/>
  <c r="AV33" i="3"/>
  <c r="AV3" i="3"/>
  <c r="AE4" i="3"/>
  <c r="AE5" i="3"/>
  <c r="AE6" i="3"/>
  <c r="AE7" i="3"/>
  <c r="AE8" i="3"/>
  <c r="AE9" i="3"/>
  <c r="AE10" i="3"/>
  <c r="AE11" i="3"/>
  <c r="AE19" i="3"/>
  <c r="AE20" i="3"/>
  <c r="AE21" i="3"/>
  <c r="AE12" i="3"/>
  <c r="AE13" i="3"/>
  <c r="AE14" i="3"/>
  <c r="AE15" i="3"/>
  <c r="AE16" i="3"/>
  <c r="AE18" i="3"/>
  <c r="AE17" i="3"/>
  <c r="AE22" i="3"/>
  <c r="AE23" i="3"/>
  <c r="AE24" i="3"/>
  <c r="AE26" i="3"/>
  <c r="AE28" i="3"/>
  <c r="AE29" i="3"/>
  <c r="AE31" i="3"/>
  <c r="AE32" i="3"/>
  <c r="AE33" i="3"/>
  <c r="AE3" i="3"/>
  <c r="AC5" i="3"/>
  <c r="AC6" i="3"/>
  <c r="AC7" i="3"/>
  <c r="AC8" i="3"/>
  <c r="AC9" i="3"/>
  <c r="AC10" i="3"/>
  <c r="AC11" i="3"/>
  <c r="AC19" i="3"/>
  <c r="AC20" i="3"/>
  <c r="AC21" i="3"/>
  <c r="AC12" i="3"/>
  <c r="AC13" i="3"/>
  <c r="AC14" i="3"/>
  <c r="AC15" i="3"/>
  <c r="AC16" i="3"/>
  <c r="AC18" i="3"/>
  <c r="AC17" i="3"/>
  <c r="AC22" i="3"/>
  <c r="AC23" i="3"/>
  <c r="AC24" i="3"/>
  <c r="AC26" i="3"/>
  <c r="AC28" i="3"/>
  <c r="AC29" i="3"/>
  <c r="AC31" i="3"/>
  <c r="AC32" i="3"/>
  <c r="AC33" i="3"/>
  <c r="AC3" i="3"/>
  <c r="AA5" i="3"/>
  <c r="AA6" i="3"/>
  <c r="AA7" i="3"/>
  <c r="AA8" i="3"/>
  <c r="AA9" i="3"/>
  <c r="AA10" i="3"/>
  <c r="AA11" i="3"/>
  <c r="AA19" i="3"/>
  <c r="AA20" i="3"/>
  <c r="AA21" i="3"/>
  <c r="AA12" i="3"/>
  <c r="AA13" i="3"/>
  <c r="AA14" i="3"/>
  <c r="AA15" i="3"/>
  <c r="AA16" i="3"/>
  <c r="AA18" i="3"/>
  <c r="AA17" i="3"/>
  <c r="AA22" i="3"/>
  <c r="AA23" i="3"/>
  <c r="AA24" i="3"/>
  <c r="AA26" i="3"/>
  <c r="AA28" i="3"/>
  <c r="AA29" i="3"/>
  <c r="AA34" i="3"/>
  <c r="AA31" i="3"/>
  <c r="AA32" i="3"/>
  <c r="AA33" i="3"/>
  <c r="AA3" i="3"/>
  <c r="X4" i="3"/>
  <c r="AM4" i="3" s="1"/>
  <c r="AQ4" i="3" s="1"/>
  <c r="AR4" i="3" s="1"/>
  <c r="AT4" i="3" s="1"/>
  <c r="AS4" i="3" s="1"/>
  <c r="X5" i="3"/>
  <c r="AM5" i="3" s="1"/>
  <c r="AM6" i="3"/>
  <c r="X7" i="3"/>
  <c r="AM7" i="3" s="1"/>
  <c r="AN7" i="3" s="1"/>
  <c r="AO7" i="3" s="1"/>
  <c r="AP7" i="3" s="1"/>
  <c r="X8" i="3"/>
  <c r="AM8" i="3" s="1"/>
  <c r="X10" i="3"/>
  <c r="AM10" i="3" s="1"/>
  <c r="AM11" i="3"/>
  <c r="AQ11" i="3" s="1"/>
  <c r="AR11" i="3" s="1"/>
  <c r="AT11" i="3" s="1"/>
  <c r="AS11" i="3" s="1"/>
  <c r="X19" i="3"/>
  <c r="AM19" i="3" s="1"/>
  <c r="X20" i="3"/>
  <c r="AM20" i="3" s="1"/>
  <c r="AM21" i="3"/>
  <c r="AN21" i="3" s="1"/>
  <c r="AO21" i="3" s="1"/>
  <c r="AP21" i="3" s="1"/>
  <c r="X12" i="3"/>
  <c r="AM12" i="3" s="1"/>
  <c r="X13" i="3"/>
  <c r="AM13" i="3" s="1"/>
  <c r="X14" i="3"/>
  <c r="AM14" i="3" s="1"/>
  <c r="X15" i="3"/>
  <c r="AM15" i="3" s="1"/>
  <c r="X16" i="3"/>
  <c r="AM16" i="3" s="1"/>
  <c r="AQ16" i="3" s="1"/>
  <c r="AR16" i="3" s="1"/>
  <c r="AT16" i="3" s="1"/>
  <c r="AS16" i="3" s="1"/>
  <c r="X18" i="3"/>
  <c r="AM18" i="3" s="1"/>
  <c r="AN18" i="3" s="1"/>
  <c r="AO18" i="3" s="1"/>
  <c r="AP18" i="3" s="1"/>
  <c r="X17" i="3"/>
  <c r="AM17" i="3" s="1"/>
  <c r="X22" i="3"/>
  <c r="AM22" i="3" s="1"/>
  <c r="X23" i="3"/>
  <c r="AM23" i="3" s="1"/>
  <c r="X24" i="3"/>
  <c r="AM24" i="3" s="1"/>
  <c r="AN24" i="3" s="1"/>
  <c r="AO24" i="3" s="1"/>
  <c r="AP24" i="3" s="1"/>
  <c r="X26" i="3"/>
  <c r="AM26" i="3" s="1"/>
  <c r="X28" i="3"/>
  <c r="AM28" i="3" s="1"/>
  <c r="AN28" i="3" s="1"/>
  <c r="AO28" i="3" s="1"/>
  <c r="AP28" i="3" s="1"/>
  <c r="X29" i="3"/>
  <c r="AM29" i="3" s="1"/>
  <c r="AQ29" i="3" s="1"/>
  <c r="AR29" i="3" s="1"/>
  <c r="AT29" i="3" s="1"/>
  <c r="AS29" i="3" s="1"/>
  <c r="X31" i="3"/>
  <c r="AM31" i="3" s="1"/>
  <c r="X32" i="3"/>
  <c r="AM32" i="3" s="1"/>
  <c r="X33" i="3"/>
  <c r="AM33" i="3" s="1"/>
  <c r="H20" i="11"/>
  <c r="D38" i="11"/>
  <c r="F92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4" i="11"/>
  <c r="E35" i="11"/>
  <c r="E36" i="11"/>
  <c r="E7" i="11"/>
  <c r="I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4" i="11"/>
  <c r="L35" i="11"/>
  <c r="L36" i="11"/>
  <c r="L7" i="11"/>
  <c r="F8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4" i="11"/>
  <c r="F35" i="11"/>
  <c r="F36" i="11"/>
  <c r="J8" i="11"/>
  <c r="H9" i="11"/>
  <c r="I9" i="11"/>
  <c r="H10" i="11"/>
  <c r="I10" i="11"/>
  <c r="H11" i="11"/>
  <c r="I11" i="11"/>
  <c r="H12" i="11"/>
  <c r="I12" i="11"/>
  <c r="H13" i="11"/>
  <c r="I13" i="11"/>
  <c r="J13" i="11"/>
  <c r="H14" i="11"/>
  <c r="I14" i="11"/>
  <c r="H15" i="11"/>
  <c r="I15" i="11"/>
  <c r="H16" i="11"/>
  <c r="I16" i="11"/>
  <c r="H17" i="11"/>
  <c r="I17" i="11"/>
  <c r="H18" i="11"/>
  <c r="I18" i="11"/>
  <c r="H19" i="11"/>
  <c r="I19" i="11"/>
  <c r="I20" i="11"/>
  <c r="J20" i="11"/>
  <c r="H21" i="11"/>
  <c r="I21" i="11"/>
  <c r="J21" i="11"/>
  <c r="H22" i="11"/>
  <c r="I22" i="11"/>
  <c r="J22" i="11"/>
  <c r="H23" i="11"/>
  <c r="I23" i="11"/>
  <c r="H24" i="11"/>
  <c r="I24" i="11"/>
  <c r="H25" i="11"/>
  <c r="I25" i="11"/>
  <c r="H26" i="11"/>
  <c r="I26" i="11"/>
  <c r="J26" i="11"/>
  <c r="H27" i="11"/>
  <c r="I27" i="11"/>
  <c r="H28" i="11"/>
  <c r="I28" i="11"/>
  <c r="H29" i="11"/>
  <c r="I29" i="11"/>
  <c r="H30" i="11"/>
  <c r="I30" i="11"/>
  <c r="J30" i="11"/>
  <c r="H31" i="11"/>
  <c r="I31" i="11"/>
  <c r="H32" i="11"/>
  <c r="I32" i="11"/>
  <c r="H34" i="11"/>
  <c r="I34" i="11"/>
  <c r="J34" i="11"/>
  <c r="H35" i="11"/>
  <c r="I35" i="11"/>
  <c r="J35" i="11"/>
  <c r="H36" i="11"/>
  <c r="I36" i="11"/>
  <c r="H7" i="11"/>
  <c r="AE20" i="8"/>
  <c r="AF20" i="8"/>
  <c r="AG20" i="8"/>
  <c r="AH20" i="8"/>
  <c r="AI20" i="8"/>
  <c r="AJ20" i="8"/>
  <c r="AK20" i="8"/>
  <c r="AD20" i="8"/>
  <c r="V20" i="8"/>
  <c r="W20" i="8"/>
  <c r="X20" i="8"/>
  <c r="Y20" i="8"/>
  <c r="Z20" i="8"/>
  <c r="AA20" i="8"/>
  <c r="AB20" i="8"/>
  <c r="AC20" i="8"/>
  <c r="O20" i="8"/>
  <c r="P20" i="8"/>
  <c r="Q20" i="8"/>
  <c r="R20" i="8"/>
  <c r="S20" i="8"/>
  <c r="T20" i="8"/>
  <c r="U20" i="8"/>
  <c r="H20" i="8"/>
  <c r="I20" i="8"/>
  <c r="J20" i="8"/>
  <c r="K20" i="8"/>
  <c r="L20" i="8"/>
  <c r="M20" i="8"/>
  <c r="N20" i="8"/>
  <c r="G20" i="8"/>
  <c r="AK15" i="8"/>
  <c r="AB15" i="8"/>
  <c r="AC15" i="8"/>
  <c r="AD15" i="8"/>
  <c r="AE15" i="8"/>
  <c r="AF15" i="8"/>
  <c r="AG15" i="8"/>
  <c r="AH15" i="8"/>
  <c r="AI15" i="8"/>
  <c r="AJ15" i="8"/>
  <c r="Q15" i="8"/>
  <c r="R15" i="8"/>
  <c r="S15" i="8"/>
  <c r="T15" i="8"/>
  <c r="U15" i="8"/>
  <c r="V15" i="8"/>
  <c r="W15" i="8"/>
  <c r="X15" i="8"/>
  <c r="Y15" i="8"/>
  <c r="Z15" i="8"/>
  <c r="AA15" i="8"/>
  <c r="H15" i="8"/>
  <c r="I15" i="8"/>
  <c r="J15" i="8"/>
  <c r="K15" i="8"/>
  <c r="L15" i="8"/>
  <c r="M15" i="8"/>
  <c r="N15" i="8"/>
  <c r="O15" i="8"/>
  <c r="P15" i="8"/>
  <c r="G15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AF4" i="8"/>
  <c r="AG4" i="8"/>
  <c r="AH4" i="8"/>
  <c r="AI4" i="8"/>
  <c r="AJ4" i="8"/>
  <c r="AK4" i="8"/>
  <c r="Z4" i="8"/>
  <c r="AA4" i="8"/>
  <c r="AB4" i="8"/>
  <c r="AC4" i="8"/>
  <c r="AD4" i="8"/>
  <c r="AE4" i="8"/>
  <c r="R4" i="8"/>
  <c r="S4" i="8"/>
  <c r="T4" i="8"/>
  <c r="U4" i="8"/>
  <c r="V4" i="8"/>
  <c r="W4" i="8"/>
  <c r="X4" i="8"/>
  <c r="Y4" i="8"/>
  <c r="H4" i="8"/>
  <c r="I4" i="8"/>
  <c r="J4" i="8"/>
  <c r="K4" i="8"/>
  <c r="L4" i="8"/>
  <c r="M4" i="8"/>
  <c r="N4" i="8"/>
  <c r="O4" i="8"/>
  <c r="P4" i="8"/>
  <c r="Q4" i="8"/>
  <c r="G4" i="8"/>
  <c r="J19" i="11"/>
  <c r="J11" i="11"/>
  <c r="J27" i="11"/>
  <c r="J32" i="11"/>
  <c r="J29" i="11"/>
  <c r="J24" i="11"/>
  <c r="J14" i="11"/>
  <c r="J18" i="11"/>
  <c r="J10" i="11"/>
  <c r="J36" i="11"/>
  <c r="J31" i="11"/>
  <c r="J28" i="11"/>
  <c r="J12" i="11"/>
  <c r="J23" i="11"/>
  <c r="J16" i="11"/>
  <c r="J25" i="11"/>
  <c r="J9" i="11"/>
  <c r="J15" i="11"/>
  <c r="J17" i="11"/>
  <c r="J7" i="11"/>
  <c r="S129" i="32"/>
  <c r="R113" i="32"/>
  <c r="P118" i="32"/>
  <c r="Q117" i="32"/>
  <c r="P122" i="32"/>
  <c r="R132" i="32"/>
  <c r="Q140" i="32"/>
  <c r="P121" i="32"/>
  <c r="Q114" i="32"/>
  <c r="S124" i="32"/>
  <c r="R133" i="32"/>
  <c r="F90" i="11"/>
  <c r="F91" i="11"/>
  <c r="F94" i="11"/>
  <c r="AF17" i="12"/>
  <c r="AG17" i="12"/>
  <c r="AE17" i="12"/>
  <c r="AR80" i="22"/>
  <c r="AS80" i="22"/>
  <c r="AS57" i="22"/>
  <c r="AR74" i="22"/>
  <c r="AS52" i="22"/>
  <c r="AR73" i="22"/>
  <c r="P72" i="21"/>
  <c r="P46" i="21"/>
  <c r="P71" i="21"/>
  <c r="P42" i="21"/>
  <c r="N71" i="21"/>
  <c r="N42" i="21"/>
  <c r="V36" i="21"/>
  <c r="V42" i="21"/>
  <c r="N44" i="21"/>
  <c r="V38" i="21"/>
  <c r="V44" i="21"/>
  <c r="N43" i="21"/>
  <c r="V37" i="21"/>
  <c r="V43" i="21"/>
  <c r="N72" i="21"/>
  <c r="N46" i="21"/>
  <c r="V40" i="21"/>
  <c r="N45" i="21"/>
  <c r="AR72" i="22"/>
  <c r="AS81" i="22"/>
  <c r="AS82" i="22"/>
  <c r="AH17" i="12"/>
  <c r="AC17" i="12"/>
  <c r="AA17" i="12"/>
  <c r="AB17" i="12"/>
  <c r="AD17" i="12"/>
  <c r="Z17" i="12"/>
  <c r="V17" i="21"/>
  <c r="Y17" i="21"/>
  <c r="V16" i="21"/>
  <c r="Y16" i="21"/>
  <c r="V9" i="21"/>
  <c r="Y9" i="21"/>
  <c r="V32" i="21"/>
  <c r="Y32" i="21"/>
  <c r="V28" i="21"/>
  <c r="Y28" i="21"/>
  <c r="V18" i="21"/>
  <c r="Y18" i="21"/>
  <c r="V29" i="21"/>
  <c r="Y29" i="21"/>
  <c r="V7" i="21"/>
  <c r="Y7" i="21"/>
  <c r="V30" i="21"/>
  <c r="Y30" i="21"/>
  <c r="V8" i="21"/>
  <c r="Y8" i="21"/>
  <c r="V21" i="21"/>
  <c r="Y21" i="21"/>
  <c r="V31" i="21"/>
  <c r="Y31" i="21"/>
  <c r="V10" i="21"/>
  <c r="Y10" i="21"/>
  <c r="V25" i="21"/>
  <c r="Y25" i="21"/>
  <c r="V27" i="21"/>
  <c r="Y27" i="21"/>
  <c r="V26" i="21"/>
  <c r="Y26" i="21"/>
  <c r="V72" i="21"/>
  <c r="V46" i="21"/>
  <c r="R124" i="32"/>
  <c r="U124" i="32"/>
  <c r="R125" i="32"/>
  <c r="T141" i="32"/>
  <c r="S126" i="32"/>
  <c r="U129" i="32"/>
  <c r="T113" i="32"/>
  <c r="S114" i="32"/>
  <c r="S128" i="32"/>
  <c r="R137" i="32"/>
  <c r="S136" i="32"/>
  <c r="U119" i="32"/>
  <c r="R135" i="32"/>
  <c r="V71" i="21"/>
  <c r="V128" i="32"/>
  <c r="V131" i="32"/>
  <c r="T131" i="32"/>
  <c r="T134" i="32"/>
  <c r="V137" i="32"/>
  <c r="U128" i="32"/>
  <c r="U113" i="32"/>
  <c r="V135" i="32"/>
  <c r="T130" i="32"/>
  <c r="U120" i="32"/>
  <c r="U126" i="32"/>
  <c r="T129" i="32"/>
  <c r="U143" i="32"/>
  <c r="U134" i="32"/>
  <c r="U132" i="32"/>
  <c r="U136" i="32"/>
  <c r="W20" i="32" l="1"/>
  <c r="Y20" i="32" s="1"/>
  <c r="W13" i="32"/>
  <c r="W49" i="32"/>
  <c r="W28" i="32"/>
  <c r="V97" i="32"/>
  <c r="W97" i="32" s="1"/>
  <c r="W24" i="32"/>
  <c r="W53" i="32" s="1"/>
  <c r="L108" i="32"/>
  <c r="W21" i="32"/>
  <c r="Y21" i="32" s="1"/>
  <c r="W25" i="32"/>
  <c r="W16" i="32"/>
  <c r="Y16" i="32" s="1"/>
  <c r="N105" i="32"/>
  <c r="W17" i="32"/>
  <c r="W8" i="32"/>
  <c r="W29" i="32"/>
  <c r="Y29" i="32" s="1"/>
  <c r="H108" i="32"/>
  <c r="V105" i="32"/>
  <c r="V118" i="32"/>
  <c r="V146" i="32" s="1"/>
  <c r="K109" i="32"/>
  <c r="K134" i="32"/>
  <c r="K150" i="32" s="1"/>
  <c r="I109" i="32"/>
  <c r="J105" i="32"/>
  <c r="W11" i="32"/>
  <c r="Y11" i="32" s="1"/>
  <c r="W61" i="32"/>
  <c r="W32" i="32"/>
  <c r="Y32" i="32" s="1"/>
  <c r="W10" i="32"/>
  <c r="Y10" i="32" s="1"/>
  <c r="W14" i="32"/>
  <c r="Y14" i="32" s="1"/>
  <c r="W34" i="32"/>
  <c r="Y34" i="32" s="1"/>
  <c r="R108" i="32"/>
  <c r="W64" i="32"/>
  <c r="W31" i="32"/>
  <c r="S106" i="32"/>
  <c r="E150" i="32"/>
  <c r="N149" i="32"/>
  <c r="P149" i="32"/>
  <c r="S108" i="32"/>
  <c r="Y13" i="32"/>
  <c r="W47" i="32"/>
  <c r="N146" i="32"/>
  <c r="M107" i="32"/>
  <c r="M124" i="32"/>
  <c r="M148" i="32" s="1"/>
  <c r="I107" i="32"/>
  <c r="I123" i="32"/>
  <c r="I148" i="32" s="1"/>
  <c r="L105" i="32"/>
  <c r="L118" i="32"/>
  <c r="L146" i="32" s="1"/>
  <c r="F115" i="32"/>
  <c r="F105" i="32"/>
  <c r="L109" i="32"/>
  <c r="L113" i="32"/>
  <c r="L150" i="32" s="1"/>
  <c r="J149" i="32"/>
  <c r="S109" i="32"/>
  <c r="S113" i="32"/>
  <c r="T128" i="32"/>
  <c r="T108" i="32"/>
  <c r="S107" i="32"/>
  <c r="S123" i="32"/>
  <c r="S148" i="32" s="1"/>
  <c r="P140" i="32"/>
  <c r="P147" i="32" s="1"/>
  <c r="P106" i="32"/>
  <c r="H121" i="32"/>
  <c r="H147" i="32" s="1"/>
  <c r="H106" i="32"/>
  <c r="I105" i="32"/>
  <c r="I118" i="32"/>
  <c r="I146" i="32" s="1"/>
  <c r="Q113" i="32"/>
  <c r="Q150" i="32" s="1"/>
  <c r="Q109" i="32"/>
  <c r="I150" i="32"/>
  <c r="G149" i="32"/>
  <c r="E107" i="32"/>
  <c r="E124" i="32"/>
  <c r="E148" i="32" s="1"/>
  <c r="G147" i="32"/>
  <c r="T105" i="32"/>
  <c r="T114" i="32"/>
  <c r="T146" i="32" s="1"/>
  <c r="M105" i="32"/>
  <c r="M114" i="32"/>
  <c r="M146" i="32" s="1"/>
  <c r="P150" i="32"/>
  <c r="V126" i="32"/>
  <c r="V148" i="32" s="1"/>
  <c r="V107" i="32"/>
  <c r="W72" i="32"/>
  <c r="W114" i="32" s="1"/>
  <c r="E114" i="32"/>
  <c r="E146" i="32" s="1"/>
  <c r="E105" i="32"/>
  <c r="S121" i="32"/>
  <c r="S147" i="32" s="1"/>
  <c r="R149" i="32"/>
  <c r="P109" i="32"/>
  <c r="H131" i="32"/>
  <c r="H149" i="32" s="1"/>
  <c r="H109" i="32"/>
  <c r="W9" i="32"/>
  <c r="W22" i="32"/>
  <c r="U106" i="32"/>
  <c r="W5" i="32"/>
  <c r="G148" i="32"/>
  <c r="G109" i="32"/>
  <c r="P108" i="32"/>
  <c r="N107" i="32"/>
  <c r="G106" i="32"/>
  <c r="W76" i="32"/>
  <c r="W118" i="32" s="1"/>
  <c r="W74" i="32"/>
  <c r="W116" i="32" s="1"/>
  <c r="D105" i="32"/>
  <c r="U149" i="32"/>
  <c r="N148" i="32"/>
  <c r="J114" i="32"/>
  <c r="J146" i="32" s="1"/>
  <c r="T149" i="32"/>
  <c r="R143" i="32"/>
  <c r="L143" i="32"/>
  <c r="H150" i="32"/>
  <c r="W23" i="32"/>
  <c r="W19" i="32"/>
  <c r="F107" i="32"/>
  <c r="O45" i="32"/>
  <c r="O79" i="32" s="1"/>
  <c r="O121" i="32" s="1"/>
  <c r="O44" i="32"/>
  <c r="O78" i="32" s="1"/>
  <c r="O120" i="32" s="1"/>
  <c r="S130" i="32"/>
  <c r="S149" i="32" s="1"/>
  <c r="Q107" i="32"/>
  <c r="W41" i="32"/>
  <c r="W18" i="32"/>
  <c r="L149" i="32"/>
  <c r="G150" i="32"/>
  <c r="W26" i="32"/>
  <c r="W6" i="32"/>
  <c r="Y6" i="32" s="1"/>
  <c r="O47" i="32"/>
  <c r="O81" i="32" s="1"/>
  <c r="W81" i="32" s="1"/>
  <c r="W12" i="32"/>
  <c r="Y12" i="32" s="1"/>
  <c r="U108" i="32"/>
  <c r="W92" i="32"/>
  <c r="W129" i="32" s="1"/>
  <c r="W38" i="32"/>
  <c r="Y4" i="32"/>
  <c r="D113" i="32"/>
  <c r="D109" i="32"/>
  <c r="W93" i="32"/>
  <c r="W130" i="32" s="1"/>
  <c r="D136" i="32"/>
  <c r="W100" i="32"/>
  <c r="W136" i="32" s="1"/>
  <c r="W90" i="32"/>
  <c r="W142" i="32" s="1"/>
  <c r="I106" i="32"/>
  <c r="I141" i="32"/>
  <c r="I147" i="32" s="1"/>
  <c r="E147" i="32"/>
  <c r="N137" i="32"/>
  <c r="N150" i="32" s="1"/>
  <c r="N109" i="32"/>
  <c r="F109" i="32"/>
  <c r="F137" i="32"/>
  <c r="F150" i="32" s="1"/>
  <c r="P105" i="32"/>
  <c r="P135" i="32"/>
  <c r="P146" i="32" s="1"/>
  <c r="G107" i="32"/>
  <c r="V122" i="32"/>
  <c r="V147" i="32" s="1"/>
  <c r="V106" i="32"/>
  <c r="W82" i="32"/>
  <c r="W124" i="32" s="1"/>
  <c r="D124" i="32"/>
  <c r="N108" i="32"/>
  <c r="N143" i="32"/>
  <c r="M128" i="32"/>
  <c r="M149" i="32" s="1"/>
  <c r="M108" i="32"/>
  <c r="L120" i="32"/>
  <c r="L147" i="32" s="1"/>
  <c r="L106" i="32"/>
  <c r="T147" i="32"/>
  <c r="D106" i="32"/>
  <c r="D120" i="32"/>
  <c r="D137" i="32"/>
  <c r="W101" i="32"/>
  <c r="W137" i="32" s="1"/>
  <c r="J106" i="32"/>
  <c r="J142" i="32"/>
  <c r="J147" i="32" s="1"/>
  <c r="O130" i="32"/>
  <c r="O149" i="32" s="1"/>
  <c r="O108" i="32"/>
  <c r="Q148" i="32"/>
  <c r="H123" i="32"/>
  <c r="H148" i="32" s="1"/>
  <c r="H107" i="32"/>
  <c r="K106" i="32"/>
  <c r="K122" i="32"/>
  <c r="K147" i="32" s="1"/>
  <c r="W89" i="32"/>
  <c r="W141" i="32" s="1"/>
  <c r="D141" i="32"/>
  <c r="F106" i="32"/>
  <c r="F142" i="32"/>
  <c r="F147" i="32" s="1"/>
  <c r="T138" i="32"/>
  <c r="T150" i="32" s="1"/>
  <c r="T109" i="32"/>
  <c r="V130" i="32"/>
  <c r="V149" i="32" s="1"/>
  <c r="V108" i="32"/>
  <c r="E108" i="32"/>
  <c r="E128" i="32"/>
  <c r="E149" i="32" s="1"/>
  <c r="R122" i="32"/>
  <c r="R147" i="32" s="1"/>
  <c r="R106" i="32"/>
  <c r="O119" i="32"/>
  <c r="O146" i="32" s="1"/>
  <c r="O105" i="32"/>
  <c r="U121" i="32"/>
  <c r="U147" i="32" s="1"/>
  <c r="O109" i="32"/>
  <c r="W94" i="32"/>
  <c r="W131" i="32" s="1"/>
  <c r="D131" i="32"/>
  <c r="W102" i="32"/>
  <c r="W138" i="32" s="1"/>
  <c r="G108" i="32"/>
  <c r="G143" i="32"/>
  <c r="M106" i="32"/>
  <c r="M141" i="32"/>
  <c r="M147" i="32" s="1"/>
  <c r="H105" i="32"/>
  <c r="H135" i="32"/>
  <c r="H146" i="32" s="1"/>
  <c r="R109" i="32"/>
  <c r="R134" i="32"/>
  <c r="R150" i="32" s="1"/>
  <c r="F108" i="32"/>
  <c r="F129" i="32"/>
  <c r="F149" i="32" s="1"/>
  <c r="Q108" i="32"/>
  <c r="Q128" i="32"/>
  <c r="Q149" i="32" s="1"/>
  <c r="L107" i="32"/>
  <c r="L123" i="32"/>
  <c r="L148" i="32" s="1"/>
  <c r="F148" i="32"/>
  <c r="W95" i="32"/>
  <c r="W132" i="32" s="1"/>
  <c r="D132" i="32"/>
  <c r="W96" i="32"/>
  <c r="W143" i="32" s="1"/>
  <c r="F143" i="32"/>
  <c r="N142" i="32"/>
  <c r="N147" i="32" s="1"/>
  <c r="N106" i="32"/>
  <c r="U107" i="32"/>
  <c r="U139" i="32"/>
  <c r="U148" i="32" s="1"/>
  <c r="P107" i="32"/>
  <c r="P139" i="32"/>
  <c r="P148" i="32" s="1"/>
  <c r="J139" i="32"/>
  <c r="J148" i="32" s="1"/>
  <c r="J107" i="32"/>
  <c r="J109" i="32"/>
  <c r="J133" i="32"/>
  <c r="J150" i="32" s="1"/>
  <c r="I128" i="32"/>
  <c r="I149" i="32" s="1"/>
  <c r="I108" i="32"/>
  <c r="Q118" i="32"/>
  <c r="Q146" i="32" s="1"/>
  <c r="Q105" i="32"/>
  <c r="S150" i="32"/>
  <c r="W80" i="32"/>
  <c r="W122" i="32" s="1"/>
  <c r="D127" i="32"/>
  <c r="W85" i="32"/>
  <c r="W127" i="32" s="1"/>
  <c r="W87" i="32"/>
  <c r="W139" i="32" s="1"/>
  <c r="S105" i="32"/>
  <c r="S135" i="32"/>
  <c r="S146" i="32" s="1"/>
  <c r="W86" i="32"/>
  <c r="W135" i="32" s="1"/>
  <c r="W98" i="32"/>
  <c r="W133" i="32" s="1"/>
  <c r="R126" i="32"/>
  <c r="R148" i="32" s="1"/>
  <c r="R107" i="32"/>
  <c r="O107" i="32"/>
  <c r="R119" i="32"/>
  <c r="R146" i="32" s="1"/>
  <c r="R105" i="32"/>
  <c r="U105" i="32"/>
  <c r="U118" i="32"/>
  <c r="U146" i="32" s="1"/>
  <c r="D108" i="32"/>
  <c r="W91" i="32"/>
  <c r="D128" i="32"/>
  <c r="J143" i="32"/>
  <c r="J108" i="32"/>
  <c r="T106" i="32"/>
  <c r="U133" i="32"/>
  <c r="U150" i="32" s="1"/>
  <c r="U109" i="32"/>
  <c r="O150" i="32"/>
  <c r="K108" i="32"/>
  <c r="K130" i="32"/>
  <c r="K149" i="32" s="1"/>
  <c r="K126" i="32"/>
  <c r="K148" i="32" s="1"/>
  <c r="K107" i="32"/>
  <c r="G105" i="32"/>
  <c r="W77" i="32"/>
  <c r="W119" i="32" s="1"/>
  <c r="G119" i="32"/>
  <c r="G146" i="32" s="1"/>
  <c r="Y8" i="32"/>
  <c r="W42" i="32"/>
  <c r="D107" i="32"/>
  <c r="D123" i="32"/>
  <c r="D148" i="32" s="1"/>
  <c r="W88" i="32"/>
  <c r="W140" i="32" s="1"/>
  <c r="D140" i="32"/>
  <c r="E106" i="32"/>
  <c r="M109" i="32"/>
  <c r="M136" i="32"/>
  <c r="M150" i="32" s="1"/>
  <c r="V109" i="32"/>
  <c r="V134" i="32"/>
  <c r="T124" i="32"/>
  <c r="T148" i="32" s="1"/>
  <c r="T107" i="32"/>
  <c r="Q121" i="32"/>
  <c r="Q147" i="32" s="1"/>
  <c r="Q106" i="32"/>
  <c r="K119" i="32"/>
  <c r="K146" i="32" s="1"/>
  <c r="K105" i="32"/>
  <c r="W37" i="32"/>
  <c r="E109" i="32"/>
  <c r="D138" i="32"/>
  <c r="D146" i="32"/>
  <c r="F116" i="32"/>
  <c r="F146" i="32" s="1"/>
  <c r="W99" i="32"/>
  <c r="W134" i="32" s="1"/>
  <c r="W84" i="32"/>
  <c r="W126" i="32" s="1"/>
  <c r="W83" i="32"/>
  <c r="W125" i="32" s="1"/>
  <c r="W75" i="32"/>
  <c r="W117" i="32" s="1"/>
  <c r="W62" i="32"/>
  <c r="W30" i="32"/>
  <c r="W27" i="32"/>
  <c r="W73" i="32"/>
  <c r="W115" i="32" s="1"/>
  <c r="AQ22" i="3"/>
  <c r="AN22" i="3"/>
  <c r="AQ15" i="3"/>
  <c r="AN15" i="3"/>
  <c r="AQ8" i="3"/>
  <c r="AR8" i="3" s="1"/>
  <c r="AT8" i="3" s="1"/>
  <c r="AS8" i="3" s="1"/>
  <c r="AN8" i="3"/>
  <c r="AO8" i="3" s="1"/>
  <c r="AP8" i="3" s="1"/>
  <c r="AN3" i="3"/>
  <c r="AO3" i="3" s="1"/>
  <c r="AP3" i="3" s="1"/>
  <c r="AQ3" i="3"/>
  <c r="AX3" i="3" s="1"/>
  <c r="AY3" i="3" s="1"/>
  <c r="AZ3" i="3" s="1"/>
  <c r="AQ12" i="3"/>
  <c r="AR12" i="3" s="1"/>
  <c r="AT12" i="3" s="1"/>
  <c r="AS12" i="3" s="1"/>
  <c r="AN12" i="3"/>
  <c r="AO12" i="3" s="1"/>
  <c r="AP12" i="3" s="1"/>
  <c r="AN16" i="3"/>
  <c r="AO16" i="3" s="1"/>
  <c r="AP16" i="3" s="1"/>
  <c r="AN34" i="3"/>
  <c r="AQ34" i="3"/>
  <c r="AR34" i="3" s="1"/>
  <c r="AT34" i="3" s="1"/>
  <c r="AS34" i="3" s="1"/>
  <c r="AQ21" i="3"/>
  <c r="AR21" i="3" s="1"/>
  <c r="AT21" i="3" s="1"/>
  <c r="AS21" i="3" s="1"/>
  <c r="AN26" i="3"/>
  <c r="AO26" i="3" s="1"/>
  <c r="AP26" i="3" s="1"/>
  <c r="AQ26" i="3"/>
  <c r="AX26" i="3" s="1"/>
  <c r="AY26" i="3" s="1"/>
  <c r="AZ26" i="3" s="1"/>
  <c r="BB26" i="3" s="1"/>
  <c r="AQ9" i="3"/>
  <c r="AX9" i="3" s="1"/>
  <c r="AY9" i="3" s="1"/>
  <c r="AZ9" i="3" s="1"/>
  <c r="AN9" i="3"/>
  <c r="AO9" i="3" s="1"/>
  <c r="AP9" i="3" s="1"/>
  <c r="AQ20" i="3"/>
  <c r="AR20" i="3" s="1"/>
  <c r="AT20" i="3" s="1"/>
  <c r="AS20" i="3" s="1"/>
  <c r="AN20" i="3"/>
  <c r="AO20" i="3" s="1"/>
  <c r="AP20" i="3" s="1"/>
  <c r="AN6" i="3"/>
  <c r="AO6" i="3" s="1"/>
  <c r="AP6" i="3" s="1"/>
  <c r="AQ6" i="3"/>
  <c r="AX6" i="3" s="1"/>
  <c r="AY6" i="3" s="1"/>
  <c r="AZ6" i="3" s="1"/>
  <c r="BA6" i="3" s="1"/>
  <c r="AN32" i="3"/>
  <c r="AO32" i="3" s="1"/>
  <c r="AP32" i="3" s="1"/>
  <c r="AQ32" i="3"/>
  <c r="AR32" i="3" s="1"/>
  <c r="AT32" i="3" s="1"/>
  <c r="AS32" i="3" s="1"/>
  <c r="AN23" i="3"/>
  <c r="AO23" i="3" s="1"/>
  <c r="AP23" i="3" s="1"/>
  <c r="AQ23" i="3"/>
  <c r="AR23" i="3" s="1"/>
  <c r="AT23" i="3" s="1"/>
  <c r="AS23" i="3" s="1"/>
  <c r="AN14" i="3"/>
  <c r="AO14" i="3" s="1"/>
  <c r="AP14" i="3" s="1"/>
  <c r="AQ14" i="3"/>
  <c r="AR14" i="3" s="1"/>
  <c r="AT14" i="3" s="1"/>
  <c r="AS14" i="3" s="1"/>
  <c r="AQ7" i="3"/>
  <c r="AO22" i="3"/>
  <c r="AP22" i="3" s="1"/>
  <c r="AQ24" i="3"/>
  <c r="AR24" i="3" s="1"/>
  <c r="AT24" i="3" s="1"/>
  <c r="AS24" i="3" s="1"/>
  <c r="AO15" i="3"/>
  <c r="AP15" i="3" s="1"/>
  <c r="AN11" i="3"/>
  <c r="AO11" i="3" s="1"/>
  <c r="AP11" i="3" s="1"/>
  <c r="AX29" i="3"/>
  <c r="AY29" i="3" s="1"/>
  <c r="AZ29" i="3" s="1"/>
  <c r="BA29" i="3" s="1"/>
  <c r="AX16" i="3"/>
  <c r="AY16" i="3" s="1"/>
  <c r="AZ16" i="3" s="1"/>
  <c r="BA16" i="3" s="1"/>
  <c r="AX11" i="3"/>
  <c r="AY11" i="3" s="1"/>
  <c r="AZ11" i="3" s="1"/>
  <c r="AR3" i="3"/>
  <c r="AT3" i="3" s="1"/>
  <c r="AS3" i="3" s="1"/>
  <c r="C79" i="25"/>
  <c r="C113" i="25" s="1"/>
  <c r="AX4" i="3"/>
  <c r="AY4" i="3" s="1"/>
  <c r="AZ4" i="3" s="1"/>
  <c r="AX20" i="3"/>
  <c r="AY20" i="3" s="1"/>
  <c r="AZ20" i="3" s="1"/>
  <c r="AQ33" i="3"/>
  <c r="AN33" i="3"/>
  <c r="AO33" i="3" s="1"/>
  <c r="AP33" i="3" s="1"/>
  <c r="AR15" i="3"/>
  <c r="AT15" i="3" s="1"/>
  <c r="AS15" i="3" s="1"/>
  <c r="AX15" i="3"/>
  <c r="AY15" i="3" s="1"/>
  <c r="AZ15" i="3" s="1"/>
  <c r="AN5" i="3"/>
  <c r="AO5" i="3" s="1"/>
  <c r="AP5" i="3" s="1"/>
  <c r="AQ5" i="3"/>
  <c r="AR5" i="3" s="1"/>
  <c r="AT5" i="3" s="1"/>
  <c r="AS5" i="3" s="1"/>
  <c r="AQ27" i="3"/>
  <c r="AR27" i="3" s="1"/>
  <c r="AT27" i="3" s="1"/>
  <c r="AS27" i="3" s="1"/>
  <c r="AN27" i="3"/>
  <c r="AO27" i="3" s="1"/>
  <c r="AP27" i="3" s="1"/>
  <c r="AR22" i="3"/>
  <c r="AT22" i="3" s="1"/>
  <c r="AS22" i="3" s="1"/>
  <c r="AX22" i="3"/>
  <c r="AY22" i="3" s="1"/>
  <c r="AQ31" i="3"/>
  <c r="AR31" i="3" s="1"/>
  <c r="AT31" i="3" s="1"/>
  <c r="AS31" i="3" s="1"/>
  <c r="AN31" i="3"/>
  <c r="AO31" i="3" s="1"/>
  <c r="AP31" i="3" s="1"/>
  <c r="AN19" i="3"/>
  <c r="AO19" i="3" s="1"/>
  <c r="AP19" i="3" s="1"/>
  <c r="AQ19" i="3"/>
  <c r="AO34" i="3"/>
  <c r="AP34" i="3" s="1"/>
  <c r="AQ35" i="3"/>
  <c r="AN35" i="3"/>
  <c r="AO35" i="3" s="1"/>
  <c r="AP35" i="3" s="1"/>
  <c r="AN13" i="3"/>
  <c r="AO13" i="3" s="1"/>
  <c r="AP13" i="3" s="1"/>
  <c r="AQ13" i="3"/>
  <c r="AN17" i="3"/>
  <c r="AO17" i="3" s="1"/>
  <c r="AP17" i="3" s="1"/>
  <c r="AQ17" i="3"/>
  <c r="AN10" i="3"/>
  <c r="AO10" i="3" s="1"/>
  <c r="AP10" i="3" s="1"/>
  <c r="AQ10" i="3"/>
  <c r="AN25" i="3"/>
  <c r="AO25" i="3" s="1"/>
  <c r="AP25" i="3" s="1"/>
  <c r="AQ25" i="3"/>
  <c r="AN4" i="3"/>
  <c r="AO4" i="3" s="1"/>
  <c r="AP4" i="3" s="1"/>
  <c r="AX21" i="3"/>
  <c r="AY21" i="3" s="1"/>
  <c r="AZ21" i="3" s="1"/>
  <c r="AQ18" i="3"/>
  <c r="AR18" i="3" s="1"/>
  <c r="AT18" i="3" s="1"/>
  <c r="AS18" i="3" s="1"/>
  <c r="AQ28" i="3"/>
  <c r="AN29" i="3"/>
  <c r="AO29" i="3" s="1"/>
  <c r="AP29" i="3" s="1"/>
  <c r="BB29" i="3" s="1"/>
  <c r="AX14" i="3"/>
  <c r="AY14" i="3" s="1"/>
  <c r="AZ14" i="3" s="1"/>
  <c r="AR26" i="3"/>
  <c r="AT26" i="3" s="1"/>
  <c r="AS26" i="3" s="1"/>
  <c r="J94" i="25"/>
  <c r="J129" i="25" s="1"/>
  <c r="J93" i="25"/>
  <c r="J128" i="25" s="1"/>
  <c r="J92" i="25"/>
  <c r="J127" i="25" s="1"/>
  <c r="J91" i="25"/>
  <c r="J126" i="25" s="1"/>
  <c r="C96" i="25"/>
  <c r="C90" i="25"/>
  <c r="C119" i="25" s="1"/>
  <c r="C82" i="25"/>
  <c r="C116" i="25" s="1"/>
  <c r="C88" i="25"/>
  <c r="C125" i="25" s="1"/>
  <c r="C80" i="25"/>
  <c r="C114" i="25" s="1"/>
  <c r="C98" i="25"/>
  <c r="C120" i="25" s="1"/>
  <c r="J89" i="25"/>
  <c r="J118" i="25" s="1"/>
  <c r="E87" i="25"/>
  <c r="E124" i="25" s="1"/>
  <c r="J96" i="25"/>
  <c r="C89" i="25"/>
  <c r="C118" i="25" s="1"/>
  <c r="C81" i="25"/>
  <c r="C115" i="25" s="1"/>
  <c r="C87" i="25"/>
  <c r="C124" i="25" s="1"/>
  <c r="C86" i="25"/>
  <c r="C123" i="25" s="1"/>
  <c r="C94" i="25"/>
  <c r="C129" i="25" s="1"/>
  <c r="C95" i="25"/>
  <c r="C92" i="25"/>
  <c r="C127" i="25" s="1"/>
  <c r="C91" i="25"/>
  <c r="C126" i="25" s="1"/>
  <c r="C83" i="25"/>
  <c r="C117" i="25" s="1"/>
  <c r="E90" i="25"/>
  <c r="E119" i="25" s="1"/>
  <c r="I76" i="25"/>
  <c r="I112" i="25" s="1"/>
  <c r="M97" i="25"/>
  <c r="I87" i="25"/>
  <c r="I124" i="25" s="1"/>
  <c r="E83" i="25"/>
  <c r="E117" i="25" s="1"/>
  <c r="K76" i="25"/>
  <c r="K112" i="25" s="1"/>
  <c r="K97" i="25"/>
  <c r="K95" i="25"/>
  <c r="K96" i="25"/>
  <c r="J98" i="25"/>
  <c r="J120" i="25" s="1"/>
  <c r="H95" i="25"/>
  <c r="K87" i="25"/>
  <c r="K124" i="25" s="1"/>
  <c r="K86" i="25"/>
  <c r="K123" i="25" s="1"/>
  <c r="K85" i="25"/>
  <c r="K122" i="25" s="1"/>
  <c r="K84" i="25"/>
  <c r="K121" i="25" s="1"/>
  <c r="K83" i="25"/>
  <c r="K117" i="25" s="1"/>
  <c r="K82" i="25"/>
  <c r="K116" i="25" s="1"/>
  <c r="K81" i="25"/>
  <c r="K115" i="25" s="1"/>
  <c r="K80" i="25"/>
  <c r="K114" i="25" s="1"/>
  <c r="K79" i="25"/>
  <c r="K113" i="25" s="1"/>
  <c r="J95" i="25"/>
  <c r="K93" i="25"/>
  <c r="K128" i="25" s="1"/>
  <c r="K92" i="25"/>
  <c r="K127" i="25" s="1"/>
  <c r="K91" i="25"/>
  <c r="K126" i="25" s="1"/>
  <c r="K89" i="25"/>
  <c r="K118" i="25" s="1"/>
  <c r="J86" i="25"/>
  <c r="J123" i="25" s="1"/>
  <c r="J84" i="25"/>
  <c r="J121" i="25" s="1"/>
  <c r="J80" i="25"/>
  <c r="J114" i="25" s="1"/>
  <c r="J79" i="25"/>
  <c r="J113" i="25" s="1"/>
  <c r="H88" i="25"/>
  <c r="H125" i="25" s="1"/>
  <c r="I86" i="25"/>
  <c r="I123" i="25" s="1"/>
  <c r="I85" i="25"/>
  <c r="I122" i="25" s="1"/>
  <c r="H76" i="25"/>
  <c r="H112" i="25" s="1"/>
  <c r="I95" i="25"/>
  <c r="I88" i="25"/>
  <c r="I125" i="25" s="1"/>
  <c r="H97" i="25"/>
  <c r="H94" i="25"/>
  <c r="H129" i="25" s="1"/>
  <c r="H93" i="25"/>
  <c r="H128" i="25" s="1"/>
  <c r="H92" i="25"/>
  <c r="H127" i="25" s="1"/>
  <c r="H90" i="25"/>
  <c r="H119" i="25" s="1"/>
  <c r="H89" i="25"/>
  <c r="H118" i="25" s="1"/>
  <c r="H87" i="25"/>
  <c r="H124" i="25" s="1"/>
  <c r="H85" i="25"/>
  <c r="H122" i="25" s="1"/>
  <c r="H83" i="25"/>
  <c r="H117" i="25" s="1"/>
  <c r="H82" i="25"/>
  <c r="H116" i="25" s="1"/>
  <c r="H81" i="25"/>
  <c r="H115" i="25" s="1"/>
  <c r="H80" i="25"/>
  <c r="H114" i="25" s="1"/>
  <c r="M81" i="25"/>
  <c r="M115" i="25" s="1"/>
  <c r="F95" i="25"/>
  <c r="H84" i="25"/>
  <c r="H121" i="25" s="1"/>
  <c r="F76" i="25"/>
  <c r="F112" i="25" s="1"/>
  <c r="L97" i="25"/>
  <c r="D90" i="25"/>
  <c r="D119" i="25" s="1"/>
  <c r="D89" i="25"/>
  <c r="D118" i="25" s="1"/>
  <c r="F96" i="25"/>
  <c r="G79" i="25"/>
  <c r="G113" i="25" s="1"/>
  <c r="G98" i="25"/>
  <c r="G120" i="25" s="1"/>
  <c r="G96" i="25"/>
  <c r="G97" i="25"/>
  <c r="F93" i="25"/>
  <c r="F128" i="25" s="1"/>
  <c r="G89" i="25"/>
  <c r="G118" i="25" s="1"/>
  <c r="K90" i="25"/>
  <c r="K119" i="25" s="1"/>
  <c r="F89" i="25"/>
  <c r="F118" i="25" s="1"/>
  <c r="F87" i="25"/>
  <c r="F124" i="25" s="1"/>
  <c r="G85" i="25"/>
  <c r="G122" i="25" s="1"/>
  <c r="F83" i="25"/>
  <c r="F117" i="25" s="1"/>
  <c r="F98" i="25"/>
  <c r="F120" i="25" s="1"/>
  <c r="F97" i="25"/>
  <c r="G92" i="25"/>
  <c r="G127" i="25" s="1"/>
  <c r="H91" i="25"/>
  <c r="H86" i="25"/>
  <c r="H123" i="25" s="1"/>
  <c r="F80" i="25"/>
  <c r="F114" i="25" s="1"/>
  <c r="H79" i="25"/>
  <c r="H98" i="25"/>
  <c r="H120" i="25" s="1"/>
  <c r="G76" i="25"/>
  <c r="G112" i="25" s="1"/>
  <c r="G95" i="25"/>
  <c r="F92" i="25"/>
  <c r="F127" i="25" s="1"/>
  <c r="F85" i="25"/>
  <c r="F122" i="25" s="1"/>
  <c r="G94" i="25"/>
  <c r="G129" i="25" s="1"/>
  <c r="E92" i="25"/>
  <c r="E127" i="25" s="1"/>
  <c r="F88" i="25"/>
  <c r="F125" i="25" s="1"/>
  <c r="F82" i="25"/>
  <c r="F116" i="25" s="1"/>
  <c r="D80" i="25"/>
  <c r="D114" i="25" s="1"/>
  <c r="H96" i="25"/>
  <c r="K94" i="25"/>
  <c r="K129" i="25" s="1"/>
  <c r="F94" i="25"/>
  <c r="F129" i="25" s="1"/>
  <c r="G91" i="25"/>
  <c r="F79" i="25"/>
  <c r="F113" i="25" s="1"/>
  <c r="M90" i="25"/>
  <c r="M119" i="25" s="1"/>
  <c r="F91" i="25"/>
  <c r="F126" i="25" s="1"/>
  <c r="G90" i="25"/>
  <c r="G119" i="25" s="1"/>
  <c r="F86" i="25"/>
  <c r="F123" i="25" s="1"/>
  <c r="F84" i="25"/>
  <c r="F121" i="25" s="1"/>
  <c r="C76" i="25"/>
  <c r="C112" i="25" s="1"/>
  <c r="G93" i="25"/>
  <c r="G128" i="25" s="1"/>
  <c r="F90" i="25"/>
  <c r="F119" i="25" s="1"/>
  <c r="F81" i="25"/>
  <c r="F115" i="25" s="1"/>
  <c r="J90" i="25"/>
  <c r="J119" i="25" s="1"/>
  <c r="E96" i="25"/>
  <c r="E98" i="25"/>
  <c r="E120" i="25" s="1"/>
  <c r="E97" i="25"/>
  <c r="M121" i="25"/>
  <c r="L98" i="25"/>
  <c r="L120" i="25" s="1"/>
  <c r="L79" i="25"/>
  <c r="L86" i="25"/>
  <c r="L123" i="25" s="1"/>
  <c r="L94" i="25"/>
  <c r="L129" i="25" s="1"/>
  <c r="L95" i="25"/>
  <c r="L87" i="25"/>
  <c r="L124" i="25" s="1"/>
  <c r="L80" i="25"/>
  <c r="L114" i="25" s="1"/>
  <c r="L88" i="25"/>
  <c r="L125" i="25" s="1"/>
  <c r="M95" i="25"/>
  <c r="L96" i="25"/>
  <c r="D92" i="25"/>
  <c r="D127" i="25" s="1"/>
  <c r="D87" i="25"/>
  <c r="D124" i="25" s="1"/>
  <c r="J85" i="25"/>
  <c r="J83" i="25"/>
  <c r="J117" i="25" s="1"/>
  <c r="D83" i="25"/>
  <c r="D117" i="25" s="1"/>
  <c r="E80" i="25"/>
  <c r="E114" i="25" s="1"/>
  <c r="K88" i="25"/>
  <c r="K125" i="25" s="1"/>
  <c r="K98" i="25"/>
  <c r="K120" i="25" s="1"/>
  <c r="L81" i="25"/>
  <c r="L115" i="25" s="1"/>
  <c r="M89" i="25"/>
  <c r="M118" i="25" s="1"/>
  <c r="M83" i="25"/>
  <c r="M117" i="25" s="1"/>
  <c r="L93" i="25"/>
  <c r="L128" i="25" s="1"/>
  <c r="M82" i="25"/>
  <c r="M116" i="25" s="1"/>
  <c r="E93" i="25"/>
  <c r="E128" i="25" s="1"/>
  <c r="E88" i="25"/>
  <c r="E125" i="25" s="1"/>
  <c r="D85" i="25"/>
  <c r="D122" i="25" s="1"/>
  <c r="E82" i="25"/>
  <c r="E116" i="25" s="1"/>
  <c r="L92" i="25"/>
  <c r="L127" i="25" s="1"/>
  <c r="M88" i="25"/>
  <c r="M125" i="25" s="1"/>
  <c r="D95" i="25"/>
  <c r="D98" i="25"/>
  <c r="D120" i="25" s="1"/>
  <c r="M94" i="25"/>
  <c r="M129" i="25" s="1"/>
  <c r="M85" i="25"/>
  <c r="M122" i="25" s="1"/>
  <c r="M93" i="25"/>
  <c r="M128" i="25" s="1"/>
  <c r="M96" i="25"/>
  <c r="M76" i="25"/>
  <c r="M112" i="25" s="1"/>
  <c r="M86" i="25"/>
  <c r="M123" i="25" s="1"/>
  <c r="M98" i="25"/>
  <c r="M120" i="25" s="1"/>
  <c r="M79" i="25"/>
  <c r="M87" i="25"/>
  <c r="M124" i="25" s="1"/>
  <c r="E95" i="25"/>
  <c r="D93" i="25"/>
  <c r="D128" i="25" s="1"/>
  <c r="D88" i="25"/>
  <c r="D125" i="25" s="1"/>
  <c r="J82" i="25"/>
  <c r="J116" i="25" s="1"/>
  <c r="D82" i="25"/>
  <c r="D116" i="25" s="1"/>
  <c r="E79" i="25"/>
  <c r="I97" i="25"/>
  <c r="I91" i="25"/>
  <c r="I93" i="25"/>
  <c r="I128" i="25" s="1"/>
  <c r="I96" i="25"/>
  <c r="I89" i="25"/>
  <c r="I118" i="25" s="1"/>
  <c r="I90" i="25"/>
  <c r="I119" i="25" s="1"/>
  <c r="I92" i="25"/>
  <c r="I127" i="25" s="1"/>
  <c r="I94" i="25"/>
  <c r="I129" i="25" s="1"/>
  <c r="I98" i="25"/>
  <c r="I120" i="25" s="1"/>
  <c r="I79" i="25"/>
  <c r="I80" i="25"/>
  <c r="I114" i="25" s="1"/>
  <c r="I81" i="25"/>
  <c r="I115" i="25" s="1"/>
  <c r="I82" i="25"/>
  <c r="I116" i="25" s="1"/>
  <c r="I83" i="25"/>
  <c r="I117" i="25" s="1"/>
  <c r="I84" i="25"/>
  <c r="L91" i="25"/>
  <c r="L85" i="25"/>
  <c r="L122" i="25" s="1"/>
  <c r="C85" i="25"/>
  <c r="C122" i="25" s="1"/>
  <c r="C84" i="25"/>
  <c r="C97" i="25"/>
  <c r="C93" i="25"/>
  <c r="C128" i="25" s="1"/>
  <c r="D96" i="25"/>
  <c r="E91" i="25"/>
  <c r="E86" i="25"/>
  <c r="E123" i="25" s="1"/>
  <c r="E84" i="25"/>
  <c r="D79" i="25"/>
  <c r="J88" i="25"/>
  <c r="J125" i="25" s="1"/>
  <c r="J76" i="25"/>
  <c r="J112" i="25" s="1"/>
  <c r="J97" i="25"/>
  <c r="L90" i="25"/>
  <c r="L119" i="25" s="1"/>
  <c r="L84" i="25"/>
  <c r="M80" i="25"/>
  <c r="M114" i="25" s="1"/>
  <c r="L76" i="25"/>
  <c r="L112" i="25" s="1"/>
  <c r="D97" i="25"/>
  <c r="E94" i="25"/>
  <c r="E129" i="25" s="1"/>
  <c r="D91" i="25"/>
  <c r="D86" i="25"/>
  <c r="D123" i="25" s="1"/>
  <c r="D84" i="25"/>
  <c r="E81" i="25"/>
  <c r="E115" i="25" s="1"/>
  <c r="L83" i="25"/>
  <c r="L117" i="25" s="1"/>
  <c r="M92" i="25"/>
  <c r="M127" i="25" s="1"/>
  <c r="E85" i="25"/>
  <c r="E122" i="25" s="1"/>
  <c r="D76" i="25"/>
  <c r="D112" i="25" s="1"/>
  <c r="E76" i="25"/>
  <c r="E112" i="25" s="1"/>
  <c r="D94" i="25"/>
  <c r="D129" i="25" s="1"/>
  <c r="E89" i="25"/>
  <c r="E118" i="25" s="1"/>
  <c r="J87" i="25"/>
  <c r="J124" i="25" s="1"/>
  <c r="J81" i="25"/>
  <c r="J115" i="25" s="1"/>
  <c r="D81" i="25"/>
  <c r="D115" i="25" s="1"/>
  <c r="L89" i="25"/>
  <c r="L118" i="25" s="1"/>
  <c r="L82" i="25"/>
  <c r="L116" i="25" s="1"/>
  <c r="M91" i="25"/>
  <c r="G88" i="25"/>
  <c r="G125" i="25" s="1"/>
  <c r="G87" i="25"/>
  <c r="G124" i="25" s="1"/>
  <c r="G86" i="25"/>
  <c r="G123" i="25" s="1"/>
  <c r="G84" i="25"/>
  <c r="G83" i="25"/>
  <c r="G117" i="25" s="1"/>
  <c r="G82" i="25"/>
  <c r="G116" i="25" s="1"/>
  <c r="G81" i="25"/>
  <c r="G115" i="25" s="1"/>
  <c r="G80" i="25"/>
  <c r="G114" i="25" s="1"/>
  <c r="K35" i="29"/>
  <c r="F35" i="29"/>
  <c r="J35" i="29"/>
  <c r="O35" i="29"/>
  <c r="E35" i="29"/>
  <c r="L35" i="29"/>
  <c r="H35" i="29"/>
  <c r="N35" i="29"/>
  <c r="M35" i="29"/>
  <c r="P35" i="29"/>
  <c r="G35" i="29"/>
  <c r="I35" i="29"/>
  <c r="Y24" i="32" l="1"/>
  <c r="W48" i="32"/>
  <c r="W50" i="32"/>
  <c r="V113" i="32"/>
  <c r="V150" i="32" s="1"/>
  <c r="W65" i="32"/>
  <c r="W44" i="32"/>
  <c r="Y28" i="32"/>
  <c r="W67" i="32"/>
  <c r="Y25" i="32"/>
  <c r="W54" i="32"/>
  <c r="W60" i="32"/>
  <c r="W46" i="32"/>
  <c r="O147" i="32"/>
  <c r="Y17" i="32"/>
  <c r="W51" i="32"/>
  <c r="W45" i="32"/>
  <c r="W40" i="32"/>
  <c r="W146" i="32"/>
  <c r="W79" i="32"/>
  <c r="W121" i="32" s="1"/>
  <c r="O106" i="32"/>
  <c r="W78" i="32"/>
  <c r="W120" i="32" s="1"/>
  <c r="Y31" i="32"/>
  <c r="W58" i="32"/>
  <c r="O123" i="32"/>
  <c r="O148" i="32" s="1"/>
  <c r="Y26" i="32"/>
  <c r="W55" i="32"/>
  <c r="W66" i="32"/>
  <c r="Y22" i="32"/>
  <c r="W39" i="32"/>
  <c r="Y5" i="32"/>
  <c r="D147" i="32"/>
  <c r="Y9" i="32"/>
  <c r="W43" i="32"/>
  <c r="W59" i="32"/>
  <c r="Y18" i="32"/>
  <c r="W63" i="32"/>
  <c r="Y19" i="32"/>
  <c r="Y23" i="32"/>
  <c r="W52" i="32"/>
  <c r="W123" i="32"/>
  <c r="W148" i="32" s="1"/>
  <c r="W107" i="32"/>
  <c r="W113" i="32"/>
  <c r="W150" i="32" s="1"/>
  <c r="W109" i="32"/>
  <c r="D149" i="32"/>
  <c r="Y30" i="32"/>
  <c r="W57" i="32"/>
  <c r="W105" i="32"/>
  <c r="W108" i="32"/>
  <c r="W128" i="32"/>
  <c r="W149" i="32" s="1"/>
  <c r="Y27" i="32"/>
  <c r="W56" i="32"/>
  <c r="D150" i="32"/>
  <c r="AX32" i="3"/>
  <c r="AY32" i="3" s="1"/>
  <c r="AZ32" i="3" s="1"/>
  <c r="BA32" i="3" s="1"/>
  <c r="AX8" i="3"/>
  <c r="AY8" i="3" s="1"/>
  <c r="AZ8" i="3" s="1"/>
  <c r="BA8" i="3" s="1"/>
  <c r="BI3" i="3"/>
  <c r="AR6" i="3"/>
  <c r="AT6" i="3" s="1"/>
  <c r="AS6" i="3" s="1"/>
  <c r="BB9" i="3"/>
  <c r="AX23" i="3"/>
  <c r="AY23" i="3" s="1"/>
  <c r="AZ23" i="3" s="1"/>
  <c r="BA23" i="3" s="1"/>
  <c r="BB11" i="3"/>
  <c r="BB32" i="3"/>
  <c r="AX12" i="3"/>
  <c r="AY12" i="3" s="1"/>
  <c r="AZ12" i="3" s="1"/>
  <c r="BA9" i="3"/>
  <c r="BB6" i="3"/>
  <c r="AR9" i="3"/>
  <c r="AT9" i="3" s="1"/>
  <c r="AS9" i="3" s="1"/>
  <c r="BA26" i="3"/>
  <c r="AX31" i="3"/>
  <c r="AY31" i="3" s="1"/>
  <c r="AZ31" i="3" s="1"/>
  <c r="BA31" i="3" s="1"/>
  <c r="AR7" i="3"/>
  <c r="AT7" i="3" s="1"/>
  <c r="AS7" i="3" s="1"/>
  <c r="AX7" i="3"/>
  <c r="AY7" i="3" s="1"/>
  <c r="AZ7" i="3" s="1"/>
  <c r="BA11" i="3"/>
  <c r="AX5" i="3"/>
  <c r="AY5" i="3" s="1"/>
  <c r="AZ5" i="3" s="1"/>
  <c r="BA5" i="3" s="1"/>
  <c r="BB16" i="3"/>
  <c r="AX24" i="3"/>
  <c r="AY24" i="3" s="1"/>
  <c r="AZ24" i="3" s="1"/>
  <c r="J105" i="25"/>
  <c r="BB21" i="3"/>
  <c r="BA21" i="3"/>
  <c r="AX28" i="3"/>
  <c r="AY28" i="3" s="1"/>
  <c r="AR28" i="3"/>
  <c r="AT28" i="3" s="1"/>
  <c r="AS28" i="3" s="1"/>
  <c r="AX35" i="3"/>
  <c r="AY35" i="3" s="1"/>
  <c r="AZ35" i="3" s="1"/>
  <c r="AR35" i="3"/>
  <c r="AT35" i="3" s="1"/>
  <c r="AS35" i="3" s="1"/>
  <c r="BB3" i="3"/>
  <c r="BA3" i="3"/>
  <c r="AR13" i="3"/>
  <c r="AT13" i="3" s="1"/>
  <c r="AS13" i="3" s="1"/>
  <c r="AX13" i="3"/>
  <c r="AY13" i="3" s="1"/>
  <c r="AZ13" i="3" s="1"/>
  <c r="AX34" i="3"/>
  <c r="AY34" i="3" s="1"/>
  <c r="BA15" i="3"/>
  <c r="BB15" i="3"/>
  <c r="AX19" i="3"/>
  <c r="AY19" i="3" s="1"/>
  <c r="AZ19" i="3" s="1"/>
  <c r="AR19" i="3"/>
  <c r="AT19" i="3" s="1"/>
  <c r="AS19" i="3" s="1"/>
  <c r="BB5" i="3"/>
  <c r="AX33" i="3"/>
  <c r="AY33" i="3" s="1"/>
  <c r="AZ33" i="3" s="1"/>
  <c r="AR33" i="3"/>
  <c r="AT33" i="3" s="1"/>
  <c r="AS33" i="3" s="1"/>
  <c r="BA20" i="3"/>
  <c r="BB20" i="3"/>
  <c r="AX25" i="3"/>
  <c r="AY25" i="3" s="1"/>
  <c r="AZ25" i="3" s="1"/>
  <c r="AR25" i="3"/>
  <c r="AT25" i="3" s="1"/>
  <c r="AS25" i="3" s="1"/>
  <c r="BB4" i="3"/>
  <c r="BA4" i="3"/>
  <c r="BA14" i="3"/>
  <c r="BB14" i="3"/>
  <c r="AX18" i="3"/>
  <c r="AY18" i="3" s="1"/>
  <c r="AZ18" i="3" s="1"/>
  <c r="AR17" i="3"/>
  <c r="AT17" i="3" s="1"/>
  <c r="AS17" i="3" s="1"/>
  <c r="AX17" i="3"/>
  <c r="AY17" i="3" s="1"/>
  <c r="AZ17" i="3" s="1"/>
  <c r="AR10" i="3"/>
  <c r="AT10" i="3" s="1"/>
  <c r="AS10" i="3" s="1"/>
  <c r="AX10" i="3"/>
  <c r="AY10" i="3" s="1"/>
  <c r="AZ10" i="3" s="1"/>
  <c r="AZ22" i="3"/>
  <c r="AX54" i="3"/>
  <c r="N129" i="25"/>
  <c r="N116" i="25"/>
  <c r="N123" i="25"/>
  <c r="N117" i="25"/>
  <c r="N118" i="25"/>
  <c r="N124" i="25"/>
  <c r="N114" i="25"/>
  <c r="N119" i="25"/>
  <c r="N115" i="25"/>
  <c r="N127" i="25"/>
  <c r="N120" i="25"/>
  <c r="N128" i="25"/>
  <c r="N125" i="25"/>
  <c r="K105" i="25"/>
  <c r="F105" i="25"/>
  <c r="H104" i="25"/>
  <c r="H113" i="25"/>
  <c r="F104" i="25"/>
  <c r="C105" i="25"/>
  <c r="G105" i="25"/>
  <c r="G126" i="25"/>
  <c r="H126" i="25"/>
  <c r="H105" i="25"/>
  <c r="J104" i="25"/>
  <c r="F106" i="25"/>
  <c r="H106" i="25"/>
  <c r="C104" i="25"/>
  <c r="C106" i="25"/>
  <c r="C121" i="25"/>
  <c r="G106" i="25"/>
  <c r="G121" i="25"/>
  <c r="E106" i="25"/>
  <c r="E121" i="25"/>
  <c r="I113" i="25"/>
  <c r="I104" i="25"/>
  <c r="I105" i="25"/>
  <c r="I126" i="25"/>
  <c r="K106" i="25"/>
  <c r="G104" i="25"/>
  <c r="M106" i="25"/>
  <c r="K104" i="25"/>
  <c r="D121" i="25"/>
  <c r="D106" i="25"/>
  <c r="L121" i="25"/>
  <c r="L106" i="25"/>
  <c r="E105" i="25"/>
  <c r="E126" i="25"/>
  <c r="L126" i="25"/>
  <c r="L105" i="25"/>
  <c r="E113" i="25"/>
  <c r="E104" i="25"/>
  <c r="J122" i="25"/>
  <c r="N122" i="25" s="1"/>
  <c r="J106" i="25"/>
  <c r="L104" i="25"/>
  <c r="L113" i="25"/>
  <c r="D113" i="25"/>
  <c r="D104" i="25"/>
  <c r="M113" i="25"/>
  <c r="M104" i="25"/>
  <c r="I121" i="25"/>
  <c r="I106" i="25"/>
  <c r="M126" i="25"/>
  <c r="M105" i="25"/>
  <c r="D126" i="25"/>
  <c r="D105" i="25"/>
  <c r="W106" i="32" l="1"/>
  <c r="W147" i="32"/>
  <c r="BB8" i="3"/>
  <c r="BB31" i="3"/>
  <c r="BB23" i="3"/>
  <c r="AX50" i="3"/>
  <c r="AX53" i="3"/>
  <c r="BA12" i="3"/>
  <c r="BB12" i="3"/>
  <c r="BB24" i="3"/>
  <c r="BA24" i="3"/>
  <c r="BB7" i="3"/>
  <c r="BA7" i="3"/>
  <c r="BA33" i="3"/>
  <c r="BB33" i="3"/>
  <c r="BA10" i="3"/>
  <c r="BB10" i="3"/>
  <c r="BA35" i="3"/>
  <c r="BB35" i="3"/>
  <c r="BA17" i="3"/>
  <c r="BB17" i="3"/>
  <c r="AY50" i="3"/>
  <c r="AZ28" i="3"/>
  <c r="BB25" i="3"/>
  <c r="BA25" i="3"/>
  <c r="BB13" i="3"/>
  <c r="BA13" i="3"/>
  <c r="AY53" i="3"/>
  <c r="AZ34" i="3"/>
  <c r="AY54" i="3"/>
  <c r="AV50" i="3"/>
  <c r="AV54" i="3"/>
  <c r="AV53" i="3"/>
  <c r="BA19" i="3"/>
  <c r="BB19" i="3"/>
  <c r="BA22" i="3"/>
  <c r="BB22" i="3"/>
  <c r="BA18" i="3"/>
  <c r="BB18" i="3"/>
  <c r="N126" i="25"/>
  <c r="N113" i="25"/>
  <c r="N121" i="25"/>
  <c r="BA34" i="3" l="1"/>
  <c r="BB34" i="3"/>
  <c r="BA28" i="3"/>
  <c r="BB2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1" authorId="0" shapeId="0" xr:uid="{BF5199DC-F6C7-4C81-A99B-3BAECD9CC55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This is the percentage of named meat that is on the label, some labels have undetermined amounts of 'meat and animal derivitives as well as the percentage given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David S Gardner</author>
    <author>Microsoft Office User</author>
    <author>Rebecca Brociek</author>
    <author>tc={834DC80C-A3E7-4506-AE1E-41F193914FB6}</author>
  </authors>
  <commentList>
    <comment ref="N1" authorId="0" shapeId="0" xr:uid="{3CA63C1F-B31B-A448-A8B5-5A9BEE0B1606}">
      <text>
        <r>
          <rPr>
            <b/>
            <sz val="9"/>
            <color rgb="FF000000"/>
            <rFont val="Tahoma"/>
            <family val="2"/>
          </rPr>
          <t>User: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This is the percentage of named meat that is on the label, some labels have undetermined amounts of 'meat and animal derivitives as well as the percentage given </t>
        </r>
      </text>
    </comment>
    <comment ref="R1" authorId="0" shapeId="0" xr:uid="{A6EFDF97-2661-934F-8AE5-4A5B05060DC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" authorId="0" shapeId="0" xr:uid="{A3FD6BBE-230E-7140-88AE-4F3E85BFCFD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senoir = 7+</t>
        </r>
      </text>
    </comment>
    <comment ref="AV1" authorId="1" shapeId="0" xr:uid="{0ED75780-1D5E-A94B-BF27-5693CD2FC2BB}">
      <text>
        <r>
          <rPr>
            <sz val="12"/>
            <color rgb="FF000000"/>
            <rFont val="Calibri"/>
            <family val="2"/>
          </rPr>
          <t xml:space="preserve">David S Gardner:
</t>
        </r>
        <r>
          <rPr>
            <sz val="12"/>
            <color rgb="FF000000"/>
            <rFont val="Calibri"/>
            <family val="2"/>
          </rPr>
          <t xml:space="preserve">assumes 13.5kg dog, low activity (PFMA site)
</t>
        </r>
        <r>
          <rPr>
            <sz val="12"/>
            <color rgb="FF000000"/>
            <rFont val="Calibri"/>
            <family val="2"/>
          </rPr>
          <t xml:space="preserve"> </t>
        </r>
      </text>
    </comment>
    <comment ref="AW1" authorId="2" shapeId="0" xr:uid="{D4681A0A-FDF6-8F4F-B7D4-D823BCA4183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Moderate activity (1-3hr/day, low impact activity) of 25kg dog
</t>
        </r>
      </text>
    </comment>
    <comment ref="AZ1" authorId="1" shapeId="0" xr:uid="{6B80EAC7-DC25-2C4B-B659-C936646DE9D9}">
      <text>
        <r>
          <rPr>
            <b/>
            <sz val="9"/>
            <color rgb="FF000000"/>
            <rFont val="Tahoma"/>
            <family val="2"/>
          </rPr>
          <t>David S Gardner: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Assumptions
</t>
        </r>
        <r>
          <rPr>
            <sz val="9"/>
            <color rgb="FF000000"/>
            <rFont val="Tahoma"/>
            <family val="2"/>
          </rPr>
          <t xml:space="preserve">Cat     dry     wet (80%moisture)
</t>
        </r>
        <r>
          <rPr>
            <sz val="9"/>
            <color rgb="FF000000"/>
            <rFont val="Tahoma"/>
            <family val="2"/>
          </rPr>
          <t xml:space="preserve">Kitten  50      250
</t>
        </r>
        <r>
          <rPr>
            <sz val="9"/>
            <color rgb="FF000000"/>
            <rFont val="Tahoma"/>
            <family val="2"/>
          </rPr>
          <t xml:space="preserve">Adult   53      265
</t>
        </r>
        <r>
          <rPr>
            <sz val="9"/>
            <color rgb="FF000000"/>
            <rFont val="Tahoma"/>
            <family val="2"/>
          </rPr>
          <t xml:space="preserve">Senior  45      225
</t>
        </r>
        <r>
          <rPr>
            <sz val="9"/>
            <color rgb="FF000000"/>
            <rFont val="Tahoma"/>
            <family val="2"/>
          </rPr>
          <t xml:space="preserve">DOG
</t>
        </r>
        <r>
          <rPr>
            <sz val="9"/>
            <color rgb="FF000000"/>
            <rFont val="Tahoma"/>
            <family val="2"/>
          </rPr>
          <t xml:space="preserve">Puppy 275       
</t>
        </r>
        <r>
          <rPr>
            <sz val="9"/>
            <color rgb="FF000000"/>
            <rFont val="Tahoma"/>
            <family val="2"/>
          </rPr>
          <t xml:space="preserve">Adult   300     
</t>
        </r>
        <r>
          <rPr>
            <sz val="9"/>
            <color rgb="FF000000"/>
            <rFont val="Tahoma"/>
            <family val="2"/>
          </rPr>
          <t xml:space="preserve">Senior  250     </t>
        </r>
      </text>
    </comment>
    <comment ref="AH4" authorId="3" shapeId="0" xr:uid="{4CF5A67A-EB6D-4FDB-B7DA-8832CFF816F5}">
      <text>
        <r>
          <rPr>
            <sz val="12"/>
            <color theme="1"/>
            <rFont val="Calibri"/>
            <family val="2"/>
            <scheme val="minor"/>
          </rPr>
          <t>Rebecca Brociek:
Red as there are multiple variations of these minerals listed in the ingredients. This is the total mg/kg listed.</t>
        </r>
      </text>
    </comment>
    <comment ref="F25" authorId="2" shapeId="0" xr:uid="{87C5A33E-BDB8-1849-A5B0-437394770E39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Two of these online, with very different nutritional info. Wait for the bag to complete.
</t>
        </r>
      </text>
    </comment>
    <comment ref="V27" authorId="4" shapeId="0" xr:uid="{834DC80C-A3E7-4506-AE1E-41F193914FB6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analysed on UoN equipment so packaging value used</t>
      </text>
    </comment>
    <comment ref="K53" authorId="2" shapeId="0" xr:uid="{6DDDF962-4D9C-4C73-8CF5-FB0EFCA7B099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Two of these online, with very different nutritional info. Wait for the bag to complete.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tc={6B2337FC-F543-468F-9F8D-730E1142A4CB}</author>
  </authors>
  <commentList>
    <comment ref="L52" authorId="0" shapeId="0" xr:uid="{6B2337FC-F543-468F-9F8D-730E1142A4CB}">
      <text>
        <t>[Threaded comment]
Your version of Excel allows you to read this threaded comment; however, any edits to it will get removed if the file is opened in a newer version of Excel. Learn more: https://go.microsoft.com/fwlink/?linkid=870924
Comment:
    FEDIAF min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C19" authorId="0" shapeId="0" xr:uid="{E20553B5-E8FE-4960-BF89-7DD67C718687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Two of these online, with very different nutritional info. Wait for the bag to complete.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C19" authorId="0" shapeId="0" xr:uid="{72BC26C4-8BFE-4BAA-B997-DAC2B8E5EE2F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Two of these online, with very different nutritional info. Wait for the bag to complete.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Rebecca Brociek</author>
  </authors>
  <commentList>
    <comment ref="A18" authorId="0" shapeId="0" xr:uid="{A4FD2FC2-47BD-4468-9E17-58A6173DCD6D}">
      <text>
        <r>
          <rPr>
            <sz val="12"/>
            <color rgb="FF000000"/>
            <rFont val="Calibri"/>
            <family val="2"/>
          </rPr>
          <t xml:space="preserve">Rebecca Brociek:
</t>
        </r>
        <r>
          <rPr>
            <sz val="12"/>
            <color rgb="FF000000"/>
            <rFont val="Calibri"/>
            <family val="2"/>
          </rPr>
          <t>Waiting for a new bag so have no photos or sample available for this.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tc={F89D7092-D0EE-46E9-A320-C65865ECB0E2}</author>
    <author>tc={10CDF65A-824B-804C-ABC0-0395D1650FC1}</author>
  </authors>
  <commentList>
    <comment ref="C19" authorId="0" shapeId="0" xr:uid="{F89D7092-D0EE-46E9-A320-C65865ECB0E2}">
      <text>
        <t>[Threaded comment]
Your version of Excel allows you to read this threaded comment; however, any edits to it will get removed if the file is opened in a newer version of Excel. Learn more: https://go.microsoft.com/fwlink/?linkid=870924
Comment:
    Why aim for 438 when the minimum requirement is 552? 
Reply:
    does it really say that on the packet?</t>
      </text>
    </comment>
    <comment ref="AH20" authorId="1" shapeId="0" xr:uid="{10CDF65A-824B-804C-ABC0-0395D1650FC1}">
      <text>
        <t>[Threaded comment]
Your version of Excel allows you to read this threaded comment; however, any edits to it will get removed if the file is opened in a newer version of Excel. Learn more: https://go.microsoft.com/fwlink/?linkid=870924
Comment:
    Why aim for 438 when the minimum requirement is 552? 
Reply:
    does it really say that on the packet?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tc={706A7012-4D8E-A64B-8039-7793C1802D3F}</author>
  </authors>
  <commentList>
    <comment ref="L84" authorId="0" shapeId="0" xr:uid="{706A7012-4D8E-A64B-8039-7793C1802D3F}">
      <text>
        <t>[Threaded comment]
Your version of Excel allows you to read this threaded comment; however, any edits to it will get removed if the file is opened in a newer version of Excel. Learn more: https://go.microsoft.com/fwlink/?linkid=870924
Comment:
    units= mg/kg</t>
      </text>
    </comment>
  </commentList>
</comments>
</file>

<file path=xl/sharedStrings.xml><?xml version="1.0" encoding="utf-8"?>
<sst xmlns="http://schemas.openxmlformats.org/spreadsheetml/2006/main" count="3965" uniqueCount="1060">
  <si>
    <t>SampleID</t>
  </si>
  <si>
    <t>Batch</t>
  </si>
  <si>
    <t>Renal</t>
  </si>
  <si>
    <t>Company</t>
  </si>
  <si>
    <t>Feeddescription</t>
  </si>
  <si>
    <t>Meat- label</t>
  </si>
  <si>
    <t>boron_ug_g_DM</t>
  </si>
  <si>
    <t>sodium_ug_g_DM</t>
  </si>
  <si>
    <t>magnesium_ug_g_DM</t>
  </si>
  <si>
    <t>phosphorus_ug_g_DM</t>
  </si>
  <si>
    <t>sulpur_ug_g_DM</t>
  </si>
  <si>
    <t>potassium_ug_g_DM</t>
  </si>
  <si>
    <t>calcium_ug_g_DM</t>
  </si>
  <si>
    <t>titanium_ug_g_DM</t>
  </si>
  <si>
    <t>lithium_ug_g_DM</t>
  </si>
  <si>
    <t>beryllium_ug_g_DM</t>
  </si>
  <si>
    <t>aluminium_ug_g_DM</t>
  </si>
  <si>
    <t>vanadium_ug_g_DM</t>
  </si>
  <si>
    <t>chromium_ug_g_DM</t>
  </si>
  <si>
    <t>manganese_ug_g_DM</t>
  </si>
  <si>
    <t>iron_ug_g_DM</t>
  </si>
  <si>
    <t>cobalt_ug_g_DM</t>
  </si>
  <si>
    <t>nickel_ug_g_DM</t>
  </si>
  <si>
    <t>copper_ug_g_DM</t>
  </si>
  <si>
    <t>zinc_ug_g_DM</t>
  </si>
  <si>
    <t>arsenic_ug_g_DM</t>
  </si>
  <si>
    <t>selenium_ug_g_DM</t>
  </si>
  <si>
    <t>rubidium_ug_g_DM</t>
  </si>
  <si>
    <t>strontium_ug_g_DM</t>
  </si>
  <si>
    <t>molybedenum_ug_g_DM</t>
  </si>
  <si>
    <t>silver_ug_g_DM</t>
  </si>
  <si>
    <t>cadmium_ug_g_DM</t>
  </si>
  <si>
    <t>caesium_ug_g_DM</t>
  </si>
  <si>
    <t>barium_ug_g_DM</t>
  </si>
  <si>
    <t>thallium_ug_g_DM</t>
  </si>
  <si>
    <t>lead_ug_g_DM</t>
  </si>
  <si>
    <t>uranium_ug_g_DM</t>
  </si>
  <si>
    <t>S#151</t>
  </si>
  <si>
    <t>No</t>
  </si>
  <si>
    <t>Autarky</t>
  </si>
  <si>
    <t>Standard</t>
  </si>
  <si>
    <t xml:space="preserve">16% chicken meal </t>
  </si>
  <si>
    <t>270 This week</t>
  </si>
  <si>
    <t>BBD 02/02/23 BATCH (05) J270007027</t>
  </si>
  <si>
    <t>% diff</t>
  </si>
  <si>
    <t>S#152</t>
  </si>
  <si>
    <t xml:space="preserve">Laughing Dog </t>
  </si>
  <si>
    <t xml:space="preserve">30%  lamb meal </t>
  </si>
  <si>
    <t xml:space="preserve">BBE 03 2023 1259 10:35 </t>
  </si>
  <si>
    <t>S#153</t>
  </si>
  <si>
    <t xml:space="preserve">MFG 17/03/15 5076548707 NL7320 B </t>
  </si>
  <si>
    <t>Iams</t>
  </si>
  <si>
    <t>Proactive Health Small &amp; Med Breed</t>
  </si>
  <si>
    <t xml:space="preserve">28% chicken and turkey </t>
  </si>
  <si>
    <t>MFG 18/08/21 BBD 17/12/22 1230980008 NL7320 81602787B</t>
  </si>
  <si>
    <t xml:space="preserve">S#156 </t>
  </si>
  <si>
    <t xml:space="preserve">Wagg </t>
  </si>
  <si>
    <t xml:space="preserve">20% beef </t>
  </si>
  <si>
    <t>294 This week</t>
  </si>
  <si>
    <t>24/02/2023 19:00 208300926/43292</t>
  </si>
  <si>
    <t xml:space="preserve">S#157 </t>
  </si>
  <si>
    <t>James Wellbeloved</t>
  </si>
  <si>
    <t xml:space="preserve">36.5 rice, 17.5% tukery meal </t>
  </si>
  <si>
    <t>Lamb batch. 278</t>
  </si>
  <si>
    <t>S#158</t>
  </si>
  <si>
    <t>Bakers</t>
  </si>
  <si>
    <t xml:space="preserve">Small dog </t>
  </si>
  <si>
    <t xml:space="preserve">30% cereals, 26% meat, 4% beef </t>
  </si>
  <si>
    <t>08 2023 38/468/8016/ABP/PTF 2033093111 21:26</t>
  </si>
  <si>
    <t>S#246</t>
  </si>
  <si>
    <t>Step up to Naturals</t>
  </si>
  <si>
    <t>Chicken &amp; Turkey</t>
  </si>
  <si>
    <t>24.5% chicken</t>
  </si>
  <si>
    <t>New batch beef</t>
  </si>
  <si>
    <t>S#142</t>
  </si>
  <si>
    <t>S13-1142206-5286</t>
  </si>
  <si>
    <t>Yes</t>
  </si>
  <si>
    <t>Hills</t>
  </si>
  <si>
    <t>K/d Canine Renal</t>
  </si>
  <si>
    <t>-</t>
  </si>
  <si>
    <t>07 2023 S17 13 0843_1351</t>
  </si>
  <si>
    <t>S#145</t>
  </si>
  <si>
    <t xml:space="preserve">Royal Canin </t>
  </si>
  <si>
    <t xml:space="preserve">Renal </t>
  </si>
  <si>
    <t>21/07/23 0110FR05 FR59-517-001 (22020080RCC)</t>
  </si>
  <si>
    <t>S#146</t>
  </si>
  <si>
    <t>Renal Select</t>
  </si>
  <si>
    <t>26/04/23 0229FR05 FR59-517-001 (21300001RCC)</t>
  </si>
  <si>
    <t>BatchID</t>
  </si>
  <si>
    <t xml:space="preserve">Used in previous Mineral analysis? </t>
  </si>
  <si>
    <t>Name</t>
  </si>
  <si>
    <t>Link</t>
  </si>
  <si>
    <t>Feedquality</t>
  </si>
  <si>
    <t>Mainflavour</t>
  </si>
  <si>
    <t xml:space="preserve">Fish Oil </t>
  </si>
  <si>
    <t>Fishlabelpct</t>
  </si>
  <si>
    <t>Meatlabelpct</t>
  </si>
  <si>
    <t>Secondflavour</t>
  </si>
  <si>
    <t>Thirdflavour</t>
  </si>
  <si>
    <t>Species</t>
  </si>
  <si>
    <t>WetorDry</t>
  </si>
  <si>
    <t>Age</t>
  </si>
  <si>
    <t>Country of Origin</t>
  </si>
  <si>
    <t>Complete</t>
  </si>
  <si>
    <t>Measured protein (%) by UoN methods</t>
  </si>
  <si>
    <t>Protein as fed (from bag)</t>
  </si>
  <si>
    <t>Protein per DM</t>
  </si>
  <si>
    <t>Measured Fat</t>
  </si>
  <si>
    <t>Fat Label</t>
  </si>
  <si>
    <t>Fat per DM</t>
  </si>
  <si>
    <t>Fibre Label</t>
  </si>
  <si>
    <t>Fibre per DM</t>
  </si>
  <si>
    <t>Ash as fed</t>
  </si>
  <si>
    <t>Ash per DM</t>
  </si>
  <si>
    <t>Moisture label</t>
  </si>
  <si>
    <t>Energy (label): (kcal/100g as fed)</t>
  </si>
  <si>
    <t>Iron Labelmg/kg</t>
  </si>
  <si>
    <t>Copper Labelmg/kg</t>
  </si>
  <si>
    <t>Copper source</t>
  </si>
  <si>
    <t>Zinc labelmg/kg</t>
  </si>
  <si>
    <t xml:space="preserve">Taurine label mg/kg </t>
  </si>
  <si>
    <t>NFreeExtract</t>
  </si>
  <si>
    <t>GEper100g as fed</t>
  </si>
  <si>
    <t>DEkcal</t>
  </si>
  <si>
    <t>MEkcal</t>
  </si>
  <si>
    <t>AtwaterkcalMEper100g as fed</t>
  </si>
  <si>
    <t>AtwaterkcalMEpergDM</t>
  </si>
  <si>
    <t>CP/1000kcal</t>
  </si>
  <si>
    <t>g/1000kcal</t>
  </si>
  <si>
    <t xml:space="preserve">£per100g </t>
  </si>
  <si>
    <t>DERkcalME</t>
  </si>
  <si>
    <t>DERkcalME 25kg dog</t>
  </si>
  <si>
    <t>g/day</t>
  </si>
  <si>
    <t>£pday</t>
  </si>
  <si>
    <t>£pcm</t>
  </si>
  <si>
    <t>£pcm DM</t>
  </si>
  <si>
    <t>£pcm 100kcal</t>
  </si>
  <si>
    <t>Moisturecontentpct</t>
  </si>
  <si>
    <t>Vitamin D claimed (IU/kg)</t>
  </si>
  <si>
    <t>Vitamin D3 result (IU/kg)</t>
  </si>
  <si>
    <t>Vitamin D3 result (IU/1000kcalME)</t>
  </si>
  <si>
    <t>Vitamin B1-Thiamine</t>
  </si>
  <si>
    <t>Vitamin B2-Riboflavin</t>
  </si>
  <si>
    <t>Vitamin B3-nicotinamide</t>
  </si>
  <si>
    <t>Vitamin B3-Nicotinic acid (niacin)</t>
  </si>
  <si>
    <t>Vitamin B5-Pantothenate</t>
  </si>
  <si>
    <t>Vitamin B6-Pyridoxal</t>
  </si>
  <si>
    <t>Vitamin B6-Pyridoxamine</t>
  </si>
  <si>
    <t>Vitamin B6-Pyridoxine</t>
  </si>
  <si>
    <t>Vitamin B7-Biotin</t>
  </si>
  <si>
    <t>Vitamin B9-Folic acid</t>
  </si>
  <si>
    <t>Vitamin B12</t>
  </si>
  <si>
    <t>chloride_ug_g_DM</t>
  </si>
  <si>
    <t>Iodine_ug_g_DM</t>
  </si>
  <si>
    <t>totalmajorELmgs_g</t>
  </si>
  <si>
    <t>totaltraceELmugs_g</t>
  </si>
  <si>
    <t>totalTEmgs</t>
  </si>
  <si>
    <t>FEDIAF1:Ca_g100gDM</t>
  </si>
  <si>
    <t>FEDIAF2:P_g100gDM</t>
  </si>
  <si>
    <t>FEDIAF3: Ca:Pratio</t>
  </si>
  <si>
    <t>FEDIAF4: K_g100gDM</t>
  </si>
  <si>
    <t>FEDIAF5: Na_g100gDM</t>
  </si>
  <si>
    <t>FEDIAF7: Mg_g100gDM</t>
  </si>
  <si>
    <t>FEDIAF8: Cu_mg100gDM</t>
  </si>
  <si>
    <t>FEDIAF10: Fe_mg100gDM</t>
  </si>
  <si>
    <t>FEDIAF11: Mn_mg100gDM</t>
  </si>
  <si>
    <t>FEDIAF12: Se_ug100gDM</t>
  </si>
  <si>
    <t>FEDIAF13: Zn_mg100gDM</t>
  </si>
  <si>
    <t>As_mg100gDM</t>
  </si>
  <si>
    <t>S_g100gDM</t>
  </si>
  <si>
    <t>NOTES</t>
  </si>
  <si>
    <t>ALANINE (g/100g)</t>
  </si>
  <si>
    <t>ARGININE (g/100g)</t>
  </si>
  <si>
    <t>ASPARATATE (g/100g)</t>
  </si>
  <si>
    <t>CYSTEIC ACID (g/100g)</t>
  </si>
  <si>
    <t>GLUTAMATE (g/100g)</t>
  </si>
  <si>
    <t>GLYCINE (g/100g)</t>
  </si>
  <si>
    <t>HISTIDINE (g/100g)</t>
  </si>
  <si>
    <t>Isoleucine (g/100g)</t>
  </si>
  <si>
    <t>LEUCINE (g/100g)</t>
  </si>
  <si>
    <t>LYSINE (g/100g)</t>
  </si>
  <si>
    <t>METHIONINE Sulfone (g/100g)</t>
  </si>
  <si>
    <t>PHENYLALANINE (g/100g)</t>
  </si>
  <si>
    <t>PROLINE (g/100g)</t>
  </si>
  <si>
    <t>SERINE (g/100g)</t>
  </si>
  <si>
    <t>THREONINE (g/100g)</t>
  </si>
  <si>
    <t>TYROSINE (g/100g)</t>
  </si>
  <si>
    <t>VALINE (g/100g)</t>
  </si>
  <si>
    <t>138-800</t>
  </si>
  <si>
    <t>2.1mg/kg</t>
  </si>
  <si>
    <t>6mg/kg</t>
  </si>
  <si>
    <t>16.4mg/kg</t>
  </si>
  <si>
    <t>14.2mg/kg</t>
  </si>
  <si>
    <t>1.5mg/kg</t>
  </si>
  <si>
    <t>258ug/kg</t>
  </si>
  <si>
    <t>33.5ug/kg</t>
  </si>
  <si>
    <t xml:space="preserve">ppm </t>
  </si>
  <si>
    <t xml:space="preserve">17/07/2022 ESP08300105 S08251001 927134 LOT: 610865 1350 16 </t>
  </si>
  <si>
    <t>S#265</t>
  </si>
  <si>
    <t>N</t>
  </si>
  <si>
    <t xml:space="preserve">Nature's Variety </t>
  </si>
  <si>
    <t>Selected Chicken Dry Medium Adult Dog Food 600g</t>
  </si>
  <si>
    <t>https://www.viovet.co.uk/Natures-Variety-Selected-Chicken-Dry-Medium-Adult-Dog-Food/c76580/</t>
  </si>
  <si>
    <t>Chicken meat</t>
  </si>
  <si>
    <t>NoFish. Omega 3 and 6 from kelp?</t>
  </si>
  <si>
    <t>Chicken protein</t>
  </si>
  <si>
    <t>Dried peas</t>
  </si>
  <si>
    <t>Dog</t>
  </si>
  <si>
    <t>Dry</t>
  </si>
  <si>
    <t>Adult</t>
  </si>
  <si>
    <t>USA</t>
  </si>
  <si>
    <t>Y</t>
  </si>
  <si>
    <t>Copper (II) sulphate pentahydrate</t>
  </si>
  <si>
    <t>S#266</t>
  </si>
  <si>
    <t xml:space="preserve">Skinner's </t>
  </si>
  <si>
    <t>Field &amp; Trial Chicken &amp; Rice Dog Food 2.5kg</t>
  </si>
  <si>
    <t>https://www.viovet.co.uk/Skinners-Field-Trial-Chicken-Rice-Dog-Food/c51841/</t>
  </si>
  <si>
    <t>Brown rice</t>
  </si>
  <si>
    <t>NoFish.NoOil</t>
  </si>
  <si>
    <t>Poultry meat meal</t>
  </si>
  <si>
    <t>Naked oats</t>
  </si>
  <si>
    <t>UK</t>
  </si>
  <si>
    <t>BBD 09/04/2023 W022677 5808 GB2260274 17:06</t>
  </si>
  <si>
    <t>S#267</t>
  </si>
  <si>
    <t>Arden Grange</t>
  </si>
  <si>
    <t>Premium Rich in Fresh Chicken &amp; Rice Dog Food 2kg</t>
  </si>
  <si>
    <t>https://www.viovet.co.uk/Arden-Grange-Premium-Rich-in-Fresh-Chicken-Rice-Dog-Food/c855/</t>
  </si>
  <si>
    <t>Chicken</t>
  </si>
  <si>
    <t>Fish.NoOil</t>
  </si>
  <si>
    <t>Rice</t>
  </si>
  <si>
    <t>Potato</t>
  </si>
  <si>
    <t>Copper chelate of amino acid hydrate</t>
  </si>
  <si>
    <t>S#268</t>
  </si>
  <si>
    <t>IAMS</t>
  </si>
  <si>
    <t>IAMS for Vitality Adult Small &amp; Medium Dog Food</t>
  </si>
  <si>
    <t xml:space="preserve">https://www.viovet.co.uk/IAMS-for-Vitality-Adult-Small-Medium-Dog-Food/c41841/ </t>
  </si>
  <si>
    <t xml:space="preserve">Small and Medium dog </t>
  </si>
  <si>
    <t>Dried Chicken and turkey</t>
  </si>
  <si>
    <t>Maize</t>
  </si>
  <si>
    <t>Maize grits</t>
  </si>
  <si>
    <t>05 2023 38/468/8016/ABP/PTF 1305093112 05:26</t>
  </si>
  <si>
    <t>S#269</t>
  </si>
  <si>
    <t xml:space="preserve">PRO PLAN </t>
  </si>
  <si>
    <t>Optibalance Medium Adult Dry Dog Food Chicken</t>
  </si>
  <si>
    <t>https://www.viovet.co.uk/PRO-PLAN-Optibalance-Medium-Adult-Dry-Dog-Food-Chicken/c27796/</t>
  </si>
  <si>
    <t>NoFish.Oil</t>
  </si>
  <si>
    <t>Wheat</t>
  </si>
  <si>
    <t>Dehydrated poultry protein</t>
  </si>
  <si>
    <t>S#270</t>
  </si>
  <si>
    <t xml:space="preserve">Autarky </t>
  </si>
  <si>
    <t>Adult Dog Food 2kg</t>
  </si>
  <si>
    <t xml:space="preserve">https://www.viovet.co.uk/Autarky-Adult-Dog-Food/c14890/ </t>
  </si>
  <si>
    <t>Poultry meal</t>
  </si>
  <si>
    <t>Chicken fat</t>
  </si>
  <si>
    <t>BBE 19.05.2023 BATCH 231</t>
  </si>
  <si>
    <t>S#271</t>
  </si>
  <si>
    <t xml:space="preserve">
Lily's Kitchen </t>
  </si>
  <si>
    <t>https://www.viovet.co.uk/Lilys-Kitchen-Beef-Dry-Dog-Food-with-Ancient-Grains/c103330/</t>
  </si>
  <si>
    <t>Beef</t>
  </si>
  <si>
    <t>Beef liver</t>
  </si>
  <si>
    <t>UK/EU</t>
  </si>
  <si>
    <t>Copper (II) chelate of amino acids sulphate</t>
  </si>
  <si>
    <t>03.08.2022 D 11.12 DE05770000113 118B9MIN05</t>
  </si>
  <si>
    <t>S#272</t>
  </si>
  <si>
    <t xml:space="preserve">Pedigree </t>
  </si>
  <si>
    <t>Beef &amp; Vegetable Complete Adult Dog Food 2.6kg</t>
  </si>
  <si>
    <t>https://www.viovet.co.uk/Pedigree-Beef-Vegetable-Complete-Adult-Dog-Food/c54199/</t>
  </si>
  <si>
    <t>Cereals</t>
  </si>
  <si>
    <t>Meat</t>
  </si>
  <si>
    <t xml:space="preserve">Oil </t>
  </si>
  <si>
    <t>S#273</t>
  </si>
  <si>
    <t>Complete Small Dog Beef &amp; Vegetables Dry Dog Food 2.85KG</t>
  </si>
  <si>
    <t>https://www.viovet.co.uk/Bakers-Complete-Small-Dog-Beef-Vegetables-Dry-Dog-Food/c51663/</t>
  </si>
  <si>
    <t>Small dog</t>
  </si>
  <si>
    <t>Meat and animal derivatives</t>
  </si>
  <si>
    <t>Derivatives of vegetable origin</t>
  </si>
  <si>
    <t>Copper (II) suplhate pentahydrate</t>
  </si>
  <si>
    <t>07/2022 S10 152352_0345</t>
  </si>
  <si>
    <t>S#274</t>
  </si>
  <si>
    <t xml:space="preserve">Hill's Science Plan </t>
  </si>
  <si>
    <t>Adult Medium Lamb &amp; Rice Dog Food 800g</t>
  </si>
  <si>
    <t>https://www.viovet.co.uk/Hills-Science-Plan-Adult-Medium-Lamb-Rice-Dog-Food/c799/</t>
  </si>
  <si>
    <t xml:space="preserve">Lamb meal </t>
  </si>
  <si>
    <t>16.05.2023/228 17:52:40</t>
  </si>
  <si>
    <t>S#275</t>
  </si>
  <si>
    <t xml:space="preserve">Lily's Kitchen </t>
  </si>
  <si>
    <t>Lamb Shepherd's Pie Adult Dry Dog Food 1kg</t>
  </si>
  <si>
    <t>https://www.viovet.co.uk/Lilys-Kitchen-Lamb-Shepherds-Pie-Adult-Dry-Dog-Food/c17519/</t>
  </si>
  <si>
    <t>Lamb</t>
  </si>
  <si>
    <t>Lamb liver</t>
  </si>
  <si>
    <t>Sweet potato</t>
  </si>
  <si>
    <t>Copper (II) chelate of amino acids hydrate</t>
  </si>
  <si>
    <t xml:space="preserve">BBD 13/08/2023 W023842 5820 GB2260274 11:08 </t>
  </si>
  <si>
    <t>S#276</t>
  </si>
  <si>
    <t xml:space="preserve">Arden Grange </t>
  </si>
  <si>
    <t>Adult Rich in Fresh Lamb &amp; Rice Dog Food 2kg</t>
  </si>
  <si>
    <t>https://www.viovet.co.uk/Arden-Grange-Adult-Rich-in-Fresh-Lamb-Rice-Dog-Food/c852/</t>
  </si>
  <si>
    <t>S#277</t>
  </si>
  <si>
    <t>Naturally Grain Free Complete Adult Dog Food Lamb 2kg</t>
  </si>
  <si>
    <t>https://www.viovet.co.uk/Laughing-Dog-Naturally-Grain-Free-Complete-Adult-Dog-Food-Lamb/c77666/</t>
  </si>
  <si>
    <t>Beet pulp</t>
  </si>
  <si>
    <t>BB 11/03/22  123E1RCS02</t>
  </si>
  <si>
    <t>S#278</t>
  </si>
  <si>
    <t xml:space="preserve">James Wellbeloved </t>
  </si>
  <si>
    <t>Adult Dry Dog Superfood Lamb 1.5kg</t>
  </si>
  <si>
    <t>https://www.viovet.co.uk/James-Wellbeloved-Adult-Dry-Dog-Superfood-Lamb/c100836/</t>
  </si>
  <si>
    <t>Lamb meal</t>
  </si>
  <si>
    <t>Barley</t>
  </si>
  <si>
    <t>Brown Rice</t>
  </si>
  <si>
    <t>03/05/2023 Batch: 21307 GB/218/E1550 21:51 PL02</t>
  </si>
  <si>
    <t>S#286</t>
  </si>
  <si>
    <t>Scrumbles</t>
  </si>
  <si>
    <t>Oats</t>
  </si>
  <si>
    <t>01-06-23 10:35:05 206000526 42679</t>
  </si>
  <si>
    <t>S#291</t>
  </si>
  <si>
    <t xml:space="preserve">Harringtons </t>
  </si>
  <si>
    <t>Lamb and Meat Meals</t>
  </si>
  <si>
    <t xml:space="preserve">Maize </t>
  </si>
  <si>
    <t>S#292</t>
  </si>
  <si>
    <t xml:space="preserve">Chappie </t>
  </si>
  <si>
    <t>Oils and Fats</t>
  </si>
  <si>
    <t>S#293</t>
  </si>
  <si>
    <t>Step Up to Naturals</t>
  </si>
  <si>
    <t>Beef &amp; Meat Meal</t>
  </si>
  <si>
    <t>Dried Sweet Potato</t>
  </si>
  <si>
    <t>Dried Potato</t>
  </si>
  <si>
    <t>S#294</t>
  </si>
  <si>
    <t>WAGG</t>
  </si>
  <si>
    <t>All Sizes</t>
  </si>
  <si>
    <t>Meat meal &amp; Gravy</t>
  </si>
  <si>
    <t>Whole Grain Wheat</t>
  </si>
  <si>
    <t xml:space="preserve">Glycerol </t>
  </si>
  <si>
    <t>Copper (II) pentahydrate</t>
  </si>
  <si>
    <t>21/07/23 0110FR05 FR59-517-011 (22020080RCC)</t>
  </si>
  <si>
    <t>S#279</t>
  </si>
  <si>
    <t>Royal Canin</t>
  </si>
  <si>
    <t>Renal Adult Dog Food 2kg</t>
  </si>
  <si>
    <t>https://www.viovet.co.uk/ROYAL-CANIN-Renal-Adult-Dog-Food/c358/</t>
  </si>
  <si>
    <t>Prescription</t>
  </si>
  <si>
    <t>Maize flour</t>
  </si>
  <si>
    <t>Animal fat</t>
  </si>
  <si>
    <t>EU</t>
  </si>
  <si>
    <t>26/04/23 0229FR05 FR59-517-001 (2130000 1RCC)</t>
  </si>
  <si>
    <t>S#280</t>
  </si>
  <si>
    <t xml:space="preserve">ROYAL CANIN® </t>
  </si>
  <si>
    <t>Renal Select Adult Dry Dog Food 2kg</t>
  </si>
  <si>
    <t>https://www.viovet.co.uk/ROYAL-CANIN-Renal-Select-Adult-Dry-Dog-Food/c22168/</t>
  </si>
  <si>
    <t>Renal select</t>
  </si>
  <si>
    <t xml:space="preserve">PET009 EXP 04/08/2023 LOT 95870 </t>
  </si>
  <si>
    <t>S#281</t>
  </si>
  <si>
    <t xml:space="preserve">SPECIFIC </t>
  </si>
  <si>
    <t>(Dechra) CKD Heart &amp; Kidney Support Dry Dog Food 2kg</t>
  </si>
  <si>
    <t>https://www.viovet.co.uk/SPECIFIC-Dechra-CKD-Heart-Kidney-Support-Dry-Dog-Food/c1007/</t>
  </si>
  <si>
    <t>CKD Heart&amp;Kidney</t>
  </si>
  <si>
    <t>Fish&amp;Oil</t>
  </si>
  <si>
    <t>Copper chelate of glycine hydrate</t>
  </si>
  <si>
    <t>S#282</t>
  </si>
  <si>
    <t>Hill's</t>
  </si>
  <si>
    <t>Prescription Diet k/d Kidney Care Original Dog Food 2kg</t>
  </si>
  <si>
    <t>https://www.viovet.co.uk/Hills-Prescription-Diet-kd-Kidney-Care-Original-Dog-Food/c101/</t>
  </si>
  <si>
    <t>k/d kidney</t>
  </si>
  <si>
    <t>Oils &amp; fats</t>
  </si>
  <si>
    <t>02 2023 ABP94PETPP3 IT 1232600 12304399CY 22:11</t>
  </si>
  <si>
    <t>S#283</t>
  </si>
  <si>
    <t>Proplan</t>
  </si>
  <si>
    <t>VETERINARY DIETS NF Renal Function Dry Dog Food</t>
  </si>
  <si>
    <t>https://www.viovet.co.uk/PRO-PLAN-VETERINARY-DIETS-NF-Renal-Function-Dry-Dog-Food/c545/</t>
  </si>
  <si>
    <t>Dried egg</t>
  </si>
  <si>
    <t>Copper (II) Sulphate pentahydrate</t>
  </si>
  <si>
    <t>EXP: 10.07.2023 YYD220110M16-CZ800175-06-CZ939</t>
  </si>
  <si>
    <t>S#300</t>
  </si>
  <si>
    <t>Renal and Cardiac</t>
  </si>
  <si>
    <t>Dried eggs</t>
  </si>
  <si>
    <t>nd</t>
  </si>
  <si>
    <t>BBD 09/10/2022/099 a DE BW 127001</t>
  </si>
  <si>
    <t>S#284</t>
  </si>
  <si>
    <t>Barking Heads</t>
  </si>
  <si>
    <t xml:space="preserve"> Plant-Powered Pooches Dry Dog Food 1kg </t>
  </si>
  <si>
    <t>https://www.viovet.co.uk/Barking-Heads-Plant-Powered-Pooches-Dry-Dog-Food/c92390/</t>
  </si>
  <si>
    <t>Plant-based food</t>
  </si>
  <si>
    <t>Plant-based protein blend</t>
  </si>
  <si>
    <t>Copper (II) chelate of glycine hydrate</t>
  </si>
  <si>
    <t>TY23/01/21 14:25</t>
  </si>
  <si>
    <t>S#285</t>
  </si>
  <si>
    <t>Yarrah</t>
  </si>
  <si>
    <t>https://www.viovet.co.uk/Yarrah-Organic-VegetarianVegan-Dry-Dog-Food/c100532/</t>
  </si>
  <si>
    <t xml:space="preserve">Vegan </t>
  </si>
  <si>
    <t>Soy beans</t>
  </si>
  <si>
    <t>Corn</t>
  </si>
  <si>
    <t>Netherlands</t>
  </si>
  <si>
    <t>02/12/23 Batch (05)J2Z0007027</t>
  </si>
  <si>
    <t>S#287</t>
  </si>
  <si>
    <t>v</t>
  </si>
  <si>
    <t>S#288</t>
  </si>
  <si>
    <t>Benevo</t>
  </si>
  <si>
    <t>Vegan</t>
  </si>
  <si>
    <t>Soya</t>
  </si>
  <si>
    <t>NoFish.NoFishOil</t>
  </si>
  <si>
    <t>White Rice</t>
  </si>
  <si>
    <t>BBD 21/03/23</t>
  </si>
  <si>
    <t>S#289</t>
  </si>
  <si>
    <t>Hownd</t>
  </si>
  <si>
    <t>Pea Protein Concentrate</t>
  </si>
  <si>
    <t>Lentils</t>
  </si>
  <si>
    <t>S#290</t>
  </si>
  <si>
    <t xml:space="preserve">V-dog </t>
  </si>
  <si>
    <t>M400 L4 12:42</t>
  </si>
  <si>
    <t>S#259</t>
  </si>
  <si>
    <t>OMNI</t>
  </si>
  <si>
    <t>Potato protein</t>
  </si>
  <si>
    <t>NoFishNoOil</t>
  </si>
  <si>
    <t>pea starch</t>
  </si>
  <si>
    <t>Hi-pro Soya</t>
  </si>
  <si>
    <t>12.12.2022 1163</t>
  </si>
  <si>
    <t>S#295</t>
  </si>
  <si>
    <t>Wolfworthy</t>
  </si>
  <si>
    <t>Original 80/20 Complete pet food for dogs and puppies</t>
  </si>
  <si>
    <t>"Raw diet"</t>
  </si>
  <si>
    <t>Fresh chicken</t>
  </si>
  <si>
    <t>Dehydrated chicken</t>
  </si>
  <si>
    <t>Adult&amp;Puppy</t>
  </si>
  <si>
    <t>* 10 has been added to boxes without a value</t>
  </si>
  <si>
    <t>Additional testing</t>
  </si>
  <si>
    <t>30.04.2024 FA2212699 03:11:16</t>
  </si>
  <si>
    <t>S#296</t>
  </si>
  <si>
    <t>Lily's kitchen</t>
  </si>
  <si>
    <t>11.04.2024 FA2211057 09:58:20</t>
  </si>
  <si>
    <t>S#297</t>
  </si>
  <si>
    <t>BBD: 21/03/23</t>
  </si>
  <si>
    <t>S#298</t>
  </si>
  <si>
    <t>22150 28/11/2023</t>
  </si>
  <si>
    <t>S#299</t>
  </si>
  <si>
    <t>V-dog</t>
  </si>
  <si>
    <t>Whole wheat</t>
  </si>
  <si>
    <t>ESP20018002 LOTE:300522 BBD:30/11/23</t>
  </si>
  <si>
    <t>S#301</t>
  </si>
  <si>
    <t>Hownd (2kg)</t>
  </si>
  <si>
    <t>Vitamin D FEDIAF</t>
  </si>
  <si>
    <t>IU/kg</t>
  </si>
  <si>
    <t xml:space="preserve">Adult Dog- Standard </t>
  </si>
  <si>
    <t>Poultry</t>
  </si>
  <si>
    <t>Average cost/day (£)</t>
  </si>
  <si>
    <t>Min</t>
  </si>
  <si>
    <t xml:space="preserve">Adult Dog- Renal </t>
  </si>
  <si>
    <t>Plant-based</t>
  </si>
  <si>
    <t>Max (L)</t>
  </si>
  <si>
    <t>Adult Dog- Plant-based</t>
  </si>
  <si>
    <t>Max (N)</t>
  </si>
  <si>
    <t>Ranges</t>
  </si>
  <si>
    <t xml:space="preserve">FEDIAF guidelines </t>
  </si>
  <si>
    <t>per kg dry matter</t>
  </si>
  <si>
    <t>Max</t>
  </si>
  <si>
    <t>Iron</t>
  </si>
  <si>
    <t xml:space="preserve">Copper </t>
  </si>
  <si>
    <t xml:space="preserve">Zinc </t>
  </si>
  <si>
    <t>(mg)</t>
  </si>
  <si>
    <t>I_mg100gDM</t>
  </si>
  <si>
    <t>Ca_g1000kcal</t>
  </si>
  <si>
    <t>P_g1000kcal</t>
  </si>
  <si>
    <t>Ca:Pratio</t>
  </si>
  <si>
    <t>K_g1000kcal</t>
  </si>
  <si>
    <t>Na_g1000kcal</t>
  </si>
  <si>
    <t>Cl_g1000kcal</t>
  </si>
  <si>
    <t>Mg_g1000kcal</t>
  </si>
  <si>
    <t>Cu_mg1000kcal</t>
  </si>
  <si>
    <t>I_mg1000kcal</t>
  </si>
  <si>
    <t>Fe_mg1000kcal</t>
  </si>
  <si>
    <t>Mn_mg1000kcal</t>
  </si>
  <si>
    <t>Se_ug1000kcal</t>
  </si>
  <si>
    <t>Zn_mg1000kcal</t>
  </si>
  <si>
    <t>Omni</t>
  </si>
  <si>
    <t xml:space="preserve">Scrumbles </t>
  </si>
  <si>
    <t>FEDIAF minimum</t>
  </si>
  <si>
    <t xml:space="preserve">Plant </t>
  </si>
  <si>
    <t>Ca_g100gDM</t>
  </si>
  <si>
    <t>P_g100gDM</t>
  </si>
  <si>
    <t>K_g100gDM</t>
  </si>
  <si>
    <t>Na_g100gDM</t>
  </si>
  <si>
    <t>Cl_g100gDM</t>
  </si>
  <si>
    <t>Mg_g100gDM</t>
  </si>
  <si>
    <t>Cu_mg100gDM</t>
  </si>
  <si>
    <t>Fe_mg100gDM</t>
  </si>
  <si>
    <t>Mn_mg100gDM</t>
  </si>
  <si>
    <t>Se_ug100gDM</t>
  </si>
  <si>
    <t>Zn_mg100gDM</t>
  </si>
  <si>
    <t xml:space="preserve">Conform? </t>
  </si>
  <si>
    <t>Deficient</t>
  </si>
  <si>
    <t>Excess</t>
  </si>
  <si>
    <t>Ca</t>
  </si>
  <si>
    <t>P</t>
  </si>
  <si>
    <t>Ca:P</t>
  </si>
  <si>
    <t>K</t>
  </si>
  <si>
    <t>Na</t>
  </si>
  <si>
    <t>Cl</t>
  </si>
  <si>
    <t>Mg</t>
  </si>
  <si>
    <t>Cu</t>
  </si>
  <si>
    <t>I</t>
  </si>
  <si>
    <t>Fe</t>
  </si>
  <si>
    <t>Mn</t>
  </si>
  <si>
    <t>Se</t>
  </si>
  <si>
    <t>Zn</t>
  </si>
  <si>
    <t>Below FEDIAF guidelines</t>
  </si>
  <si>
    <t>Above FEDIAF guidelines</t>
  </si>
  <si>
    <t xml:space="preserve">    </t>
  </si>
  <si>
    <t>Dechra</t>
  </si>
  <si>
    <t xml:space="preserve">Mean </t>
  </si>
  <si>
    <t xml:space="preserve">Standard Deviation </t>
  </si>
  <si>
    <t>CV%</t>
  </si>
  <si>
    <t xml:space="preserve">Medians </t>
  </si>
  <si>
    <t xml:space="preserve">Lamb </t>
  </si>
  <si>
    <t>Plant based</t>
  </si>
  <si>
    <t>Means</t>
  </si>
  <si>
    <t xml:space="preserve">All meat </t>
  </si>
  <si>
    <t>Origin</t>
  </si>
  <si>
    <t xml:space="preserve">Full Compliance? </t>
  </si>
  <si>
    <t>FEDIAF: 1</t>
  </si>
  <si>
    <t>FEDIAF: 2</t>
  </si>
  <si>
    <t>FEDIAF: 3</t>
  </si>
  <si>
    <t>FEDIAF: 4</t>
  </si>
  <si>
    <t>FEDIAF: 5</t>
  </si>
  <si>
    <t>FEDIAF: 6</t>
  </si>
  <si>
    <t>FEDIAF: 7</t>
  </si>
  <si>
    <t>FEDIAF: 8</t>
  </si>
  <si>
    <t>FEDIAF: 9</t>
  </si>
  <si>
    <t>FEDIAF: 10</t>
  </si>
  <si>
    <t>FEDIAF: 11</t>
  </si>
  <si>
    <t>FEDIAF: 12</t>
  </si>
  <si>
    <t>FEDIAF: 13</t>
  </si>
  <si>
    <t>Plant</t>
  </si>
  <si>
    <t>check red ones before publishing</t>
  </si>
  <si>
    <t>Renal*</t>
  </si>
  <si>
    <t>*</t>
  </si>
  <si>
    <t>AVERAGE</t>
  </si>
  <si>
    <t>STDEV</t>
  </si>
  <si>
    <t>* illustrative only, since minerals adjusted in foods for a particular nutritional purpose (PARNUTS)</t>
  </si>
  <si>
    <t>above</t>
  </si>
  <si>
    <t>in-range</t>
  </si>
  <si>
    <t>below</t>
  </si>
  <si>
    <t>Nutritional guideline</t>
  </si>
  <si>
    <t>mean</t>
  </si>
  <si>
    <t>SD</t>
  </si>
  <si>
    <t>food_type</t>
  </si>
  <si>
    <t>meat</t>
  </si>
  <si>
    <t>plant</t>
  </si>
  <si>
    <t>renal</t>
  </si>
  <si>
    <t xml:space="preserve">Arrived? </t>
  </si>
  <si>
    <t>YES</t>
  </si>
  <si>
    <t>NO</t>
  </si>
  <si>
    <t>Beef Dry Dog Food with Ancient Grains 1kg</t>
  </si>
  <si>
    <t xml:space="preserve"> Organic Vegetarian/Vegan Dry Dog Food 2kg</t>
  </si>
  <si>
    <t>ID</t>
  </si>
  <si>
    <t>ALANINE (g/kg)</t>
  </si>
  <si>
    <t>ARGININE (g/kg)</t>
  </si>
  <si>
    <t>ASPARATATE  (g/kg)</t>
  </si>
  <si>
    <t>CYSTEIC ACID (g/kg)</t>
  </si>
  <si>
    <t>GLUTAMATE (g/kg)</t>
  </si>
  <si>
    <t>GLYCINE (g/kg)</t>
  </si>
  <si>
    <t>HISTIDINE (g/kg)</t>
  </si>
  <si>
    <t>Isoleucine (g/kg)</t>
  </si>
  <si>
    <t>LEUCINE  (g/kg)</t>
  </si>
  <si>
    <t>LYSINE (g/kg)</t>
  </si>
  <si>
    <t>METHIONINE Sulfone  (g/kg)</t>
  </si>
  <si>
    <t>METHIONE + CYSTEIC ACID  (g/kg)</t>
  </si>
  <si>
    <t>PHENYLALANINE (g/kg)</t>
  </si>
  <si>
    <t>PHENYLALANINE + TYROSINE (g/kg)</t>
  </si>
  <si>
    <t>PROLINE (g/kg)</t>
  </si>
  <si>
    <t>SERINE  (g/kg)</t>
  </si>
  <si>
    <t>THREONINE  (g/kg)</t>
  </si>
  <si>
    <t>TYROSINE  (g/kg)</t>
  </si>
  <si>
    <t>VALINE  (g/kg)</t>
  </si>
  <si>
    <t>Total (g/kg)</t>
  </si>
  <si>
    <t>Calc protein from AA total (%)</t>
  </si>
  <si>
    <t>Measured protein (%)</t>
  </si>
  <si>
    <t>0913_Rebecca9</t>
  </si>
  <si>
    <t>0701_RebeccaB_18</t>
  </si>
  <si>
    <t>0701_RebeccaB_4</t>
  </si>
  <si>
    <t>0701_RebeccaB_20</t>
  </si>
  <si>
    <t>0701_RebeccaB_13</t>
  </si>
  <si>
    <t>0701_RebeccaB_21</t>
  </si>
  <si>
    <t>0701_RebeccaB_12</t>
  </si>
  <si>
    <t>0701_RebeccaB_7</t>
  </si>
  <si>
    <t>0913_Rebecca1</t>
  </si>
  <si>
    <t>0913_Rebecca2</t>
  </si>
  <si>
    <t>0913_Rebecca3</t>
  </si>
  <si>
    <t>0913_Rebecca4</t>
  </si>
  <si>
    <t>0701_RebeccaB_9</t>
  </si>
  <si>
    <t>0701_RebeccaB_17</t>
  </si>
  <si>
    <t>0701_RebeccaB_10</t>
  </si>
  <si>
    <t>0701_RebeccaB_23</t>
  </si>
  <si>
    <t>0701_RebeccaB_16</t>
  </si>
  <si>
    <t>0913_Rebecca5</t>
  </si>
  <si>
    <t>0701_RebeccaB_19</t>
  </si>
  <si>
    <t>0701_RebeccaB_5</t>
  </si>
  <si>
    <t>0913_Rebecca6</t>
  </si>
  <si>
    <t>0913_Rebecca7</t>
  </si>
  <si>
    <t>0701_RebeccaB_15</t>
  </si>
  <si>
    <t>0701_RebeccaB_11</t>
  </si>
  <si>
    <t>0701_RebeccaB_2</t>
  </si>
  <si>
    <t>0701_RebeccaB_14</t>
  </si>
  <si>
    <t>0701_RebeccaB_22</t>
  </si>
  <si>
    <t>0701_RebeccaB_6</t>
  </si>
  <si>
    <t>0701_RebeccaB_3</t>
  </si>
  <si>
    <t>0701_RebeccaB_8</t>
  </si>
  <si>
    <t>0913_Rebecca8</t>
  </si>
  <si>
    <t>0207_Noriane21</t>
  </si>
  <si>
    <t>g/kg</t>
  </si>
  <si>
    <t xml:space="preserve"> </t>
  </si>
  <si>
    <t>g/100g DM</t>
  </si>
  <si>
    <t>Amino Acids (essential!)</t>
  </si>
  <si>
    <t xml:space="preserve">Minimum recommended. Unit= g/100g dry matter. Adult based MER of 110kcal/kg </t>
  </si>
  <si>
    <t xml:space="preserve">**  Methionine-Cystine (Adult dogs) The recommended
values are based on a dog food containing a very low
taurine content, i.e. &lt;100 mg/kg dry matter (Sanderson
SL et al. 2001). For products containing higher levels of
taurine the RA for sulphur amino acids can be lower than
the values quoted in the table. "							</t>
  </si>
  <si>
    <t>Arginine</t>
  </si>
  <si>
    <t xml:space="preserve">Histidine </t>
  </si>
  <si>
    <t>Isoleucine</t>
  </si>
  <si>
    <t>Leucine</t>
  </si>
  <si>
    <t xml:space="preserve">Lysine </t>
  </si>
  <si>
    <t xml:space="preserve">Methionine </t>
  </si>
  <si>
    <t>Methionine + Cystine</t>
  </si>
  <si>
    <t xml:space="preserve">Phenylalanine </t>
  </si>
  <si>
    <t>Phenylalanine + Tyrosine</t>
  </si>
  <si>
    <t xml:space="preserve">Threonine </t>
  </si>
  <si>
    <t>Tryptophan</t>
  </si>
  <si>
    <t>not detectable</t>
  </si>
  <si>
    <t>Valine</t>
  </si>
  <si>
    <t xml:space="preserve">MINIMUM </t>
  </si>
  <si>
    <t>meat based</t>
  </si>
  <si>
    <t>plant-based</t>
  </si>
  <si>
    <t>Vitamin D3 (IU/kg)</t>
  </si>
  <si>
    <t>Vitamin D (IU/kg)</t>
  </si>
  <si>
    <t>Thiamine B1 (mg)</t>
  </si>
  <si>
    <t>Riboflavin B2 (mg)</t>
  </si>
  <si>
    <t>Niacin B3 (mg)</t>
  </si>
  <si>
    <t>Pantothenic acid B5 (mg)</t>
  </si>
  <si>
    <t>Pyridoxine B6 (mg)</t>
  </si>
  <si>
    <t>Folate B9 (mg)</t>
  </si>
  <si>
    <t>Cobalamin B12 (mcg)</t>
  </si>
  <si>
    <t xml:space="preserve">Primary protein source </t>
  </si>
  <si>
    <t>Sample</t>
  </si>
  <si>
    <t>Protein as fed (from package label) (%)</t>
  </si>
  <si>
    <t>FEDIAF MIN</t>
  </si>
  <si>
    <t>%FEDIAF MIN</t>
  </si>
  <si>
    <t xml:space="preserve">66-98% </t>
  </si>
  <si>
    <t xml:space="preserve">ALANINE </t>
  </si>
  <si>
    <t xml:space="preserve">ARGININE </t>
  </si>
  <si>
    <t xml:space="preserve">ASPARATATE  </t>
  </si>
  <si>
    <t xml:space="preserve">CYSTEIC ACID </t>
  </si>
  <si>
    <t xml:space="preserve">GLUTAMATE </t>
  </si>
  <si>
    <t xml:space="preserve">GLYCINE </t>
  </si>
  <si>
    <t xml:space="preserve">HISTIDINE </t>
  </si>
  <si>
    <t>ISOLEUCINE</t>
  </si>
  <si>
    <t>LEUCINE</t>
  </si>
  <si>
    <t>LYSINE</t>
  </si>
  <si>
    <r>
      <t>METHIONINE SULFONE</t>
    </r>
    <r>
      <rPr>
        <b/>
        <vertAlign val="superscript"/>
        <sz val="11"/>
        <color theme="1"/>
        <rFont val="Calibri"/>
        <family val="2"/>
      </rPr>
      <t>1</t>
    </r>
  </si>
  <si>
    <r>
      <t>METHIONE + CYSTEIC ACID</t>
    </r>
    <r>
      <rPr>
        <b/>
        <vertAlign val="superscript"/>
        <sz val="11"/>
        <color theme="1"/>
        <rFont val="Calibri"/>
        <family val="2"/>
      </rPr>
      <t>1</t>
    </r>
  </si>
  <si>
    <t>PHENYLALANINE</t>
  </si>
  <si>
    <t>PHENYLALANINE + TYROSINE</t>
  </si>
  <si>
    <t>PROLINE</t>
  </si>
  <si>
    <t>SERINE</t>
  </si>
  <si>
    <t>THREONINE</t>
  </si>
  <si>
    <t>TYROSINE</t>
  </si>
  <si>
    <t>VALINE</t>
  </si>
  <si>
    <t>Sulphur-containing</t>
  </si>
  <si>
    <t>Fully compliant? (All AAs)</t>
  </si>
  <si>
    <t>Fully compliant? (EAA)</t>
  </si>
  <si>
    <t xml:space="preserve"> Sulphur-containing	</t>
  </si>
  <si>
    <t>ALANINE (g/100gDM)</t>
  </si>
  <si>
    <t>ARGININE (g/100gDM)</t>
  </si>
  <si>
    <t>ASPARATATE  (g/100gDM)</t>
  </si>
  <si>
    <t>CYSTEIC ACID (g/100gDM)</t>
  </si>
  <si>
    <t>GLUTAMATE (g/100gDM)</t>
  </si>
  <si>
    <t>GLYCINE (g/100gDM)</t>
  </si>
  <si>
    <t>HISTIDINE (g/100gDM)</t>
  </si>
  <si>
    <t>Isoleucine (g/100gDM)</t>
  </si>
  <si>
    <t>LEUCINE (g/100gDM)</t>
  </si>
  <si>
    <t>LYSINE (g/100gDM)</t>
  </si>
  <si>
    <t>METHIONINE Sulfone (g/100gDM)</t>
  </si>
  <si>
    <t>METHIONE + CYSTEIC ACID (g/100gDM)</t>
  </si>
  <si>
    <t>PHENYLALANINE (g/100gDM)</t>
  </si>
  <si>
    <t>PHENYLALANINE + TYROSINE (g/100gDM)</t>
  </si>
  <si>
    <t>PROLINE (g/100gDM)</t>
  </si>
  <si>
    <t>THREONINE (g/100gDM)</t>
  </si>
  <si>
    <t>TYROSINE (g/100gDM)</t>
  </si>
  <si>
    <t>VALINE (g/100gDM)</t>
  </si>
  <si>
    <t>Total (g/100gDM)</t>
  </si>
  <si>
    <t>ALANINE (g/1000kcal)</t>
  </si>
  <si>
    <t>ARGININE (g/1000kcal)</t>
  </si>
  <si>
    <t>ASPARATATE  (g/1000kcal)</t>
  </si>
  <si>
    <t>CYSTEIC ACID (g/1000kcal)</t>
  </si>
  <si>
    <t>GLUTAMATE (g/1000kcal)</t>
  </si>
  <si>
    <t>GLYCINE (g/1000kcal)</t>
  </si>
  <si>
    <t>HISTIDINE (g/1000kcal)</t>
  </si>
  <si>
    <t>Isoleucine (g/1000kcal)</t>
  </si>
  <si>
    <t>LEUCINE  (g/1000kcal)</t>
  </si>
  <si>
    <t>LYSINE (g/1000kcal)</t>
  </si>
  <si>
    <t>METHIONINE Sulfone  (g/1000kcal)</t>
  </si>
  <si>
    <t>METHIONE + CYSTEIC ACID  (g/1000kcal)</t>
  </si>
  <si>
    <t>PHENYLALANINE (g/1000kcal)</t>
  </si>
  <si>
    <t>PHENYLALANINE + TYROSINE (g/1000kcal)</t>
  </si>
  <si>
    <t>PROLINE (g/1000kcal)</t>
  </si>
  <si>
    <t>THREONINE  (g/1000kcal)</t>
  </si>
  <si>
    <t>TYROSINE  (g/1000kcal)</t>
  </si>
  <si>
    <t>VALINE  (g/1000kcal)</t>
  </si>
  <si>
    <t>Total (g/1000kcal)</t>
  </si>
  <si>
    <t>EAA compliant?</t>
  </si>
  <si>
    <t>g/1000kcal ME</t>
  </si>
  <si>
    <t>Medians</t>
  </si>
  <si>
    <t>Total</t>
  </si>
  <si>
    <t xml:space="preserve">13 compliant </t>
  </si>
  <si>
    <t xml:space="preserve">17 compliant </t>
  </si>
  <si>
    <t xml:space="preserve">Poultry </t>
  </si>
  <si>
    <t xml:space="preserve">Log of results </t>
  </si>
  <si>
    <t>Mean</t>
  </si>
  <si>
    <t>C6:0</t>
  </si>
  <si>
    <t>C8:0</t>
  </si>
  <si>
    <t>C10:0</t>
  </si>
  <si>
    <t>C11:0</t>
  </si>
  <si>
    <t>C12:0</t>
  </si>
  <si>
    <t>C13:0</t>
  </si>
  <si>
    <t>C14:0</t>
  </si>
  <si>
    <t>C14:1</t>
  </si>
  <si>
    <t>C15:0</t>
  </si>
  <si>
    <t>C15:1</t>
  </si>
  <si>
    <t>C16:0</t>
  </si>
  <si>
    <t>C16:1</t>
  </si>
  <si>
    <t>C17:0</t>
  </si>
  <si>
    <t>C17:1</t>
  </si>
  <si>
    <t>C18:0</t>
  </si>
  <si>
    <t>C18:1n9t</t>
  </si>
  <si>
    <t>C18:1n9c</t>
  </si>
  <si>
    <t>C18:2n6t</t>
  </si>
  <si>
    <t>C18:2n6c</t>
  </si>
  <si>
    <t>C20:0</t>
  </si>
  <si>
    <t>C18:3n6</t>
  </si>
  <si>
    <t>C20:1</t>
  </si>
  <si>
    <t>C18:3n3</t>
  </si>
  <si>
    <t>C21:0</t>
  </si>
  <si>
    <t>C20:2</t>
  </si>
  <si>
    <t>C22:0</t>
  </si>
  <si>
    <t>C20:3n6</t>
  </si>
  <si>
    <t>C20:3n3</t>
  </si>
  <si>
    <t>C22:3n9</t>
  </si>
  <si>
    <t>C20:4n6</t>
  </si>
  <si>
    <t>C23:0</t>
  </si>
  <si>
    <t>C22:2</t>
  </si>
  <si>
    <t>C20:5n3</t>
  </si>
  <si>
    <t>C24:0</t>
  </si>
  <si>
    <t>C24:1</t>
  </si>
  <si>
    <t>C22:6n3</t>
  </si>
  <si>
    <t>Sample No</t>
  </si>
  <si>
    <t>Injection Name</t>
  </si>
  <si>
    <t>Sample ID</t>
  </si>
  <si>
    <t xml:space="preserve">Lipid extraction sample weight </t>
  </si>
  <si>
    <t>Dilution after lipid extraction</t>
  </si>
  <si>
    <t>Dilution after methylation</t>
  </si>
  <si>
    <t>Rel.Amount (TOTAL)</t>
  </si>
  <si>
    <t>Rel.Area (IDENTIFIED)</t>
  </si>
  <si>
    <t>Caclulate amount per 100g DM</t>
  </si>
  <si>
    <t/>
  </si>
  <si>
    <t>(g)</t>
  </si>
  <si>
    <t>5ml extraction buffer, 7ml extraction buffer, 1ml extract:1.5ml homogenate:2.5ml sucrose, remove ~500uL after ultracentrifuge, chloroform:methanol step 5ml, 1ml NaCl, ~3ml removed, resuspended remaining with 3ml chloroform, removed this too (~6ml total final vol.), dried under nitrogen and resuspended in 200uL chloroform</t>
  </si>
  <si>
    <t>200uL of extracted lipid 
0.7ml KOH, 5.3ml Methanol, 0.58ml Sulphuric acid, 3ml Hexane, Approx 2ml taken off, 0.5ml given to dongfang</t>
  </si>
  <si>
    <t>%</t>
  </si>
  <si>
    <t>1.32g</t>
  </si>
  <si>
    <t>30mg</t>
  </si>
  <si>
    <t>0.08g</t>
  </si>
  <si>
    <t>0.05g</t>
  </si>
  <si>
    <t xml:space="preserve">Pg 52/55 in lab book </t>
  </si>
  <si>
    <t>Quantitation Channel</t>
  </si>
  <si>
    <t>MS Quantitation Peak</t>
  </si>
  <si>
    <t>Other (&lt;1%)</t>
  </si>
  <si>
    <t xml:space="preserve">Linoleic </t>
  </si>
  <si>
    <t>Arachidonic*</t>
  </si>
  <si>
    <t>Linolenic 3n6*</t>
  </si>
  <si>
    <t>EPA+DHA*</t>
  </si>
  <si>
    <t>Caproic</t>
  </si>
  <si>
    <t>Caprylic</t>
  </si>
  <si>
    <t>Capric</t>
  </si>
  <si>
    <t>Undecanoic</t>
  </si>
  <si>
    <t>Lauric</t>
  </si>
  <si>
    <t>Tridecanoic</t>
  </si>
  <si>
    <t>Myristic</t>
  </si>
  <si>
    <t>Myristoleic</t>
  </si>
  <si>
    <t>Pentadecanoic</t>
  </si>
  <si>
    <t>cis-10-Pentadecanoic</t>
  </si>
  <si>
    <t>Palmitic</t>
  </si>
  <si>
    <t>Palmitoleic</t>
  </si>
  <si>
    <t>Heptadecanoic</t>
  </si>
  <si>
    <t>cis-10-Heptadecanoic</t>
  </si>
  <si>
    <t>Stearic</t>
  </si>
  <si>
    <t>Elaidic</t>
  </si>
  <si>
    <t>Oleic</t>
  </si>
  <si>
    <t>Linolelaidic acid</t>
  </si>
  <si>
    <t>Linoleic</t>
  </si>
  <si>
    <t>Arachidic</t>
  </si>
  <si>
    <t>3n6 Linolenic</t>
  </si>
  <si>
    <t>cis-11-Eicosenoic</t>
  </si>
  <si>
    <t>3n3 Linolenic</t>
  </si>
  <si>
    <t>Heneicosanoic</t>
  </si>
  <si>
    <t>cis-11,14-Eicosadienoic</t>
  </si>
  <si>
    <t>Behenic</t>
  </si>
  <si>
    <t>DGLA</t>
  </si>
  <si>
    <t>ETE</t>
  </si>
  <si>
    <t>Euricic</t>
  </si>
  <si>
    <t>Arachidonic</t>
  </si>
  <si>
    <t>Tricosanoic</t>
  </si>
  <si>
    <t>cis-13,16-Docosadienoic</t>
  </si>
  <si>
    <t>EPA</t>
  </si>
  <si>
    <t>Lignoceric</t>
  </si>
  <si>
    <t>Nervonic</t>
  </si>
  <si>
    <t>DHA</t>
  </si>
  <si>
    <t>EPA + DHA</t>
  </si>
  <si>
    <t>g</t>
  </si>
  <si>
    <t>mg</t>
  </si>
  <si>
    <t xml:space="preserve">* values taken from minimum recommendation for easly growth (&lt;14 weeks) &amp; reproduction as there is no minimum for adults </t>
  </si>
  <si>
    <t>HX</t>
  </si>
  <si>
    <t>n.a.</t>
  </si>
  <si>
    <t>Fame37 1/80</t>
  </si>
  <si>
    <t>Fame37 1/40</t>
  </si>
  <si>
    <t>Fame37 1/20</t>
  </si>
  <si>
    <t>Fame37 1/10</t>
  </si>
  <si>
    <t>Fame37 1/5</t>
  </si>
  <si>
    <t>Fame37 1/2</t>
  </si>
  <si>
    <t>Fame37 neat</t>
  </si>
  <si>
    <t>Vicky39 Dilute RPT 1in 400</t>
  </si>
  <si>
    <t>Rebecca1</t>
  </si>
  <si>
    <t>Meat-based</t>
  </si>
  <si>
    <t>Rebecca2</t>
  </si>
  <si>
    <t>Rebecca3</t>
  </si>
  <si>
    <t>Rebecca4</t>
  </si>
  <si>
    <t>Rebecca5</t>
  </si>
  <si>
    <t>Rebecca6</t>
  </si>
  <si>
    <t>Rebecca7</t>
  </si>
  <si>
    <t>Rebecca8</t>
  </si>
  <si>
    <t>Rebecca9</t>
  </si>
  <si>
    <t>Rebecca10</t>
  </si>
  <si>
    <t>Rebecca11</t>
  </si>
  <si>
    <t>Rebecca12</t>
  </si>
  <si>
    <t>Rebecca13</t>
  </si>
  <si>
    <t>Rebecca14</t>
  </si>
  <si>
    <t>Rebecca15</t>
  </si>
  <si>
    <t>Rebecca16</t>
  </si>
  <si>
    <t>Rebecca17</t>
  </si>
  <si>
    <t>Rebecca18</t>
  </si>
  <si>
    <t>Rebecca19</t>
  </si>
  <si>
    <t>Rebecca20</t>
  </si>
  <si>
    <t>Rebecca21</t>
  </si>
  <si>
    <t>Rebecca22</t>
  </si>
  <si>
    <t>Rebecca23</t>
  </si>
  <si>
    <t>Rebecca24</t>
  </si>
  <si>
    <t>Rebecca25</t>
  </si>
  <si>
    <t>Rebecca26</t>
  </si>
  <si>
    <t>Rebecca27</t>
  </si>
  <si>
    <t>Rebecca28</t>
  </si>
  <si>
    <t>Rebecca29</t>
  </si>
  <si>
    <t>Rebecca30</t>
  </si>
  <si>
    <t>RB_259</t>
  </si>
  <si>
    <t>RB_300</t>
  </si>
  <si>
    <t>Total Meat-based</t>
  </si>
  <si>
    <t xml:space="preserve">Total Renal </t>
  </si>
  <si>
    <t>Total Plant-based</t>
  </si>
  <si>
    <t>Removed &lt;1% values</t>
  </si>
  <si>
    <t>Caclulated amount per 100g DM</t>
  </si>
  <si>
    <t>Linoleic (g)</t>
  </si>
  <si>
    <t>Arachidonic* (mg)</t>
  </si>
  <si>
    <t>Arachidonic* (g)</t>
  </si>
  <si>
    <t>Linolenic 3n6* (g)</t>
  </si>
  <si>
    <t>EPA+DHA* (g)</t>
  </si>
  <si>
    <t>Palmitic acid</t>
  </si>
  <si>
    <t>Stearic acid</t>
  </si>
  <si>
    <t>Oleic acid</t>
  </si>
  <si>
    <t>FEDIAF min.</t>
  </si>
  <si>
    <t>FEDIAF</t>
  </si>
  <si>
    <t>diff (IU)</t>
  </si>
  <si>
    <t>% of legal max</t>
  </si>
  <si>
    <t xml:space="preserve">SD </t>
  </si>
  <si>
    <t>Coeff. variance (%)</t>
  </si>
  <si>
    <t>% of nutritional max</t>
  </si>
  <si>
    <t>Retest?</t>
  </si>
  <si>
    <t>Difference from claimed (after both sets of testing)</t>
  </si>
  <si>
    <t>1 meat doesn’t comply</t>
  </si>
  <si>
    <t>Repat testing</t>
  </si>
  <si>
    <t>Area</t>
  </si>
  <si>
    <t>D3 ng</t>
  </si>
  <si>
    <t>Weight (mg)</t>
  </si>
  <si>
    <t>D3 ug/kg</t>
  </si>
  <si>
    <t>D3 IU/Kg</t>
  </si>
  <si>
    <t xml:space="preserve">average result % of legal limit </t>
  </si>
  <si>
    <t>without 7065</t>
  </si>
  <si>
    <t>vege</t>
  </si>
  <si>
    <t>without 552</t>
  </si>
  <si>
    <t>1SD</t>
  </si>
  <si>
    <t>2SD</t>
  </si>
  <si>
    <t>3SD</t>
  </si>
  <si>
    <t>Flavour</t>
  </si>
  <si>
    <t>Conform?</t>
  </si>
  <si>
    <t>Blank corrected</t>
  </si>
  <si>
    <t>B</t>
  </si>
  <si>
    <t>S</t>
  </si>
  <si>
    <t>Ti</t>
  </si>
  <si>
    <t>Li</t>
  </si>
  <si>
    <t>Be</t>
  </si>
  <si>
    <t>Al</t>
  </si>
  <si>
    <t xml:space="preserve">V </t>
  </si>
  <si>
    <t>Cr</t>
  </si>
  <si>
    <t>Co</t>
  </si>
  <si>
    <t>Ni</t>
  </si>
  <si>
    <t>As</t>
  </si>
  <si>
    <t>Rb</t>
  </si>
  <si>
    <t>Sr</t>
  </si>
  <si>
    <t>Mo</t>
  </si>
  <si>
    <t>Ag</t>
  </si>
  <si>
    <t>Cd</t>
  </si>
  <si>
    <t>Cs</t>
  </si>
  <si>
    <t>Ba</t>
  </si>
  <si>
    <t>Tl</t>
  </si>
  <si>
    <t>Pb</t>
  </si>
  <si>
    <t>U</t>
  </si>
  <si>
    <t>Date run</t>
  </si>
  <si>
    <t>Weight (g)</t>
  </si>
  <si>
    <t>boronmgL</t>
  </si>
  <si>
    <t>sodiummgL</t>
  </si>
  <si>
    <t>magnesiummgL</t>
  </si>
  <si>
    <t>phosphorusmgL</t>
  </si>
  <si>
    <t>sulpurmgL</t>
  </si>
  <si>
    <t>Chloride</t>
  </si>
  <si>
    <t>potassiummgL</t>
  </si>
  <si>
    <t>calciummgL</t>
  </si>
  <si>
    <t>titaniummgL</t>
  </si>
  <si>
    <t>lithiumugL</t>
  </si>
  <si>
    <t>berylliumugL</t>
  </si>
  <si>
    <t>aluminiumugL</t>
  </si>
  <si>
    <t>vanadiumugL</t>
  </si>
  <si>
    <t>chromiumugL</t>
  </si>
  <si>
    <t>manganeseugL</t>
  </si>
  <si>
    <t>ironugL</t>
  </si>
  <si>
    <t>cobaltugL</t>
  </si>
  <si>
    <t>nickelugL</t>
  </si>
  <si>
    <t>copperugL</t>
  </si>
  <si>
    <t>zincugL</t>
  </si>
  <si>
    <t>arsenicugL</t>
  </si>
  <si>
    <t>seleniumugL</t>
  </si>
  <si>
    <t>rubidiumugL</t>
  </si>
  <si>
    <t>strontiumugL</t>
  </si>
  <si>
    <t>molybedenumugL</t>
  </si>
  <si>
    <t>silverugL</t>
  </si>
  <si>
    <t>cadmiumugL</t>
  </si>
  <si>
    <t>caesiumugL</t>
  </si>
  <si>
    <t>bariumugL</t>
  </si>
  <si>
    <t>thalliumugL</t>
  </si>
  <si>
    <t>leadugL</t>
  </si>
  <si>
    <t>urainiumugL</t>
  </si>
  <si>
    <t>(ug/g DM)</t>
  </si>
  <si>
    <t>BLANK CORRECTIONS</t>
  </si>
  <si>
    <t>17/05/22</t>
  </si>
  <si>
    <t>Bovine liver 1577c</t>
  </si>
  <si>
    <t>RB21</t>
  </si>
  <si>
    <t>RB22</t>
  </si>
  <si>
    <t>Blank</t>
  </si>
  <si>
    <t>RB23</t>
  </si>
  <si>
    <t xml:space="preserve">STD CORRECTION </t>
  </si>
  <si>
    <t>RB24</t>
  </si>
  <si>
    <t>24/05/22</t>
  </si>
  <si>
    <t xml:space="preserve">Std 1 </t>
  </si>
  <si>
    <t>RB3</t>
  </si>
  <si>
    <t>Std 2</t>
  </si>
  <si>
    <t>RB4</t>
  </si>
  <si>
    <t>RB1</t>
  </si>
  <si>
    <t>RB2</t>
  </si>
  <si>
    <t>Std 1</t>
  </si>
  <si>
    <t>Blank 2</t>
  </si>
  <si>
    <t>Blank 1</t>
  </si>
  <si>
    <t>23/8/22</t>
  </si>
  <si>
    <t>std 49</t>
  </si>
  <si>
    <t>std 50</t>
  </si>
  <si>
    <t>blank</t>
  </si>
  <si>
    <t>Element</t>
  </si>
  <si>
    <t>Certified level</t>
  </si>
  <si>
    <t>lower limit</t>
  </si>
  <si>
    <t>upper limit</t>
  </si>
  <si>
    <t> </t>
  </si>
  <si>
    <t xml:space="preserve">IU/1000kcal </t>
  </si>
  <si>
    <t>None</t>
  </si>
  <si>
    <t>AtwaterkcalMEperkgDM</t>
  </si>
  <si>
    <t>Vitamin D claimed (IU/kg) from package</t>
  </si>
  <si>
    <t xml:space="preserve">Vitamin D3 result (IU/kg) from analysis </t>
  </si>
  <si>
    <t>IU/1000kcal</t>
  </si>
  <si>
    <t>Minimum % is 17.25</t>
  </si>
  <si>
    <t xml:space="preserve">Sample name </t>
  </si>
  <si>
    <t>Vitamin B12- Cobalamin</t>
  </si>
  <si>
    <t>Vitamin C-Ascorbic acid</t>
  </si>
  <si>
    <t>LLOD/LLOQ (nnmol/mg)</t>
  </si>
  <si>
    <t>AAFCO</t>
  </si>
  <si>
    <t>1mg/kg</t>
  </si>
  <si>
    <t>10mg/kg</t>
  </si>
  <si>
    <t>11.4mg/kg</t>
  </si>
  <si>
    <t>0.18mg/kg</t>
  </si>
  <si>
    <t>0.22mg/kg</t>
  </si>
  <si>
    <t>Atomic weight/ Molar mass (g/mol)</t>
  </si>
  <si>
    <t>g/mol</t>
  </si>
  <si>
    <t>1nmol weighs (ng)</t>
  </si>
  <si>
    <t>ng/nmol</t>
  </si>
  <si>
    <t>1nmol weighs (mg)</t>
  </si>
  <si>
    <t>mg/nmol</t>
  </si>
  <si>
    <t xml:space="preserve">Sample conc (nmol/mg) </t>
  </si>
  <si>
    <t>01_DogFood_269</t>
  </si>
  <si>
    <t>02_DogFood_286</t>
    <phoneticPr fontId="1" type="noConversion"/>
  </si>
  <si>
    <t>03_DogFood_271</t>
  </si>
  <si>
    <t>04_DogFood_273</t>
  </si>
  <si>
    <t>05_DogFood_274</t>
  </si>
  <si>
    <t>06_DogFood_284</t>
  </si>
  <si>
    <t>07_DogFood_285</t>
  </si>
  <si>
    <t>08_DogFood_288</t>
  </si>
  <si>
    <t>09_DogFood_289</t>
  </si>
  <si>
    <t>10_DogFood_290</t>
  </si>
  <si>
    <t>QC_1</t>
  </si>
  <si>
    <t>N/A</t>
  </si>
  <si>
    <t>QC_2</t>
  </si>
  <si>
    <t>QC_3</t>
  </si>
  <si>
    <t>QC_4</t>
  </si>
  <si>
    <t>CV%(n=3)</t>
  </si>
  <si>
    <t xml:space="preserve">Sample conc (nmol/kg) </t>
  </si>
  <si>
    <t>LLOD/LLOQ (nnmol/kg)</t>
  </si>
  <si>
    <t xml:space="preserve">Sample conc (mg/kg) </t>
  </si>
  <si>
    <t xml:space="preserve">AAFCO minimum* </t>
  </si>
  <si>
    <t>LLOD/LLOQ (mg/kg)</t>
  </si>
  <si>
    <t>FEDIAF minimum (per kg dry matter)**</t>
  </si>
  <si>
    <t>3.35ug/100g</t>
  </si>
  <si>
    <t>25.8ug/100gDM</t>
  </si>
  <si>
    <t>These are in ug</t>
  </si>
  <si>
    <r>
      <t xml:space="preserve">*Nutrient requirements are indicated on a dry-matter basis and are per kg of diet, </t>
    </r>
    <r>
      <rPr>
        <b/>
        <i/>
        <sz val="11"/>
        <color theme="1"/>
        <rFont val="Calibri"/>
        <family val="2"/>
        <scheme val="minor"/>
      </rPr>
      <t>not</t>
    </r>
    <r>
      <rPr>
        <b/>
        <sz val="11"/>
        <color theme="1"/>
        <rFont val="Calibri"/>
        <family val="2"/>
        <scheme val="minor"/>
      </rPr>
      <t xml:space="preserve"> per kg of body weight of animal. These AAFCO nutrient profiles for dog foods presume an energy density of 3.5 kcal ME/g dry matter. Rations &gt;4 kcal/g should be corrected for energy density.</t>
    </r>
  </si>
  <si>
    <t>Red writing= does not meet AAFCO guidelines</t>
  </si>
  <si>
    <t>Red = does not meet FEDIAF guidelines</t>
  </si>
  <si>
    <t xml:space="preserve">Average meat </t>
  </si>
  <si>
    <t>Average renal</t>
  </si>
  <si>
    <t>Average vegetarian</t>
  </si>
  <si>
    <r>
      <t xml:space="preserve">** Taken from table in FEDIAF 2018 guidelines "3.2.2. Recommended nutrient levels for dogs. TABLE III-3a. Recommended nutrient levels for dogs -Unit per </t>
    </r>
    <r>
      <rPr>
        <b/>
        <sz val="11"/>
        <rFont val="Calibri (Body)"/>
      </rPr>
      <t>100 g</t>
    </r>
    <r>
      <rPr>
        <b/>
        <sz val="11"/>
        <color theme="1"/>
        <rFont val="Calibri"/>
        <family val="2"/>
        <scheme val="minor"/>
      </rPr>
      <t xml:space="preserve"> dry matter (DM)" x 10 to change to per kg. Comparisons were based on adult MER of 110kcal/kg</t>
    </r>
  </si>
  <si>
    <t>Sample conc (unit/1000kcal)</t>
  </si>
  <si>
    <t>Compliant?</t>
  </si>
  <si>
    <t>0.54mg/1000kcal</t>
  </si>
  <si>
    <t>1.50mg/1000kcal</t>
  </si>
  <si>
    <t>4.09mg/1000kcal</t>
  </si>
  <si>
    <t>3.55mg/1000kcal</t>
  </si>
  <si>
    <t>0.36mg/1000kcal</t>
  </si>
  <si>
    <t>64.50ug/1000kcal</t>
  </si>
  <si>
    <t>8.36ug/1000kcal</t>
  </si>
  <si>
    <t>LLOD/LLOQ (mg/1000kcal)</t>
  </si>
  <si>
    <t>Vitamin B3-Niacin</t>
  </si>
  <si>
    <t>FEDIAF min (per 1000kcal)</t>
  </si>
  <si>
    <t>0.54mg</t>
  </si>
  <si>
    <t>1.50mg</t>
  </si>
  <si>
    <t>4.09mg</t>
  </si>
  <si>
    <t>3.55mg</t>
  </si>
  <si>
    <t>0.36mg</t>
  </si>
  <si>
    <t>64.50ug</t>
  </si>
  <si>
    <t>8.36ug</t>
  </si>
  <si>
    <t>mgs</t>
  </si>
  <si>
    <t>ugs</t>
  </si>
  <si>
    <t>meat-based</t>
  </si>
  <si>
    <t>vet-renal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</si>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</sst>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"/>
    <numFmt numFmtId="166" formatCode="0.000000000"/>
    <numFmt numFmtId="167" formatCode="0.000000"/>
    <numFmt numFmtId="168" formatCode="0.0000"/>
    <numFmt numFmtId="169" formatCode="0.00000000"/>
    <numFmt numFmtId="170" formatCode="0.00000"/>
  </numFmts>
  <fonts count="7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</font>
    <font>
      <sz val="11"/>
      <color rgb="FFC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C00000"/>
      <name val="Calibri"/>
      <family val="2"/>
    </font>
    <font>
      <sz val="10"/>
      <name val="Arial"/>
      <family val="2"/>
    </font>
    <font>
      <sz val="11"/>
      <color rgb="FFFF2D1E"/>
      <name val="Calibri"/>
      <family val="2"/>
      <scheme val="minor"/>
    </font>
    <font>
      <b/>
      <sz val="11"/>
      <color rgb="FFFF2D1E"/>
      <name val="Calibri"/>
      <family val="2"/>
      <scheme val="minor"/>
    </font>
    <font>
      <sz val="12"/>
      <color rgb="FFFF2D1E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C0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Calibri (Body)"/>
    </font>
    <font>
      <sz val="8"/>
      <name val="Calibri"/>
      <family val="2"/>
      <scheme val="minor"/>
    </font>
    <font>
      <sz val="9"/>
      <color rgb="FFFF0000"/>
      <name val="Arial"/>
      <family val="2"/>
    </font>
    <font>
      <b/>
      <sz val="10"/>
      <name val="Arial"/>
      <family val="2"/>
    </font>
    <font>
      <sz val="11"/>
      <color theme="7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7"/>
      <name val="Calibri"/>
      <family val="2"/>
    </font>
    <font>
      <sz val="11"/>
      <color theme="9"/>
      <name val="Calibri"/>
      <family val="2"/>
    </font>
    <font>
      <sz val="14"/>
      <color rgb="FFC00000"/>
      <name val="Calibri"/>
      <family val="2"/>
      <scheme val="minor"/>
    </font>
    <font>
      <sz val="11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u/>
      <sz val="9"/>
      <color rgb="FF000000"/>
      <name val="Arial"/>
      <family val="2"/>
    </font>
    <font>
      <b/>
      <vertAlign val="superscript"/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7"/>
      <name val="Calibri"/>
      <family val="2"/>
      <scheme val="minor"/>
    </font>
    <font>
      <sz val="14"/>
      <color theme="9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5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Aptos"/>
      <family val="2"/>
    </font>
    <font>
      <b/>
      <sz val="14"/>
      <color rgb="FF000000"/>
      <name val="Aptos"/>
      <family val="2"/>
    </font>
    <font>
      <sz val="14"/>
      <color theme="0"/>
      <name val="Aptos"/>
      <family val="2"/>
    </font>
    <font>
      <b/>
      <sz val="14"/>
      <color rgb="FFC00000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2D1E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C9A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7C7F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rgb="FFF4B084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576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76D6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7"/>
      </left>
      <right style="thick">
        <color theme="7"/>
      </right>
      <top style="thick">
        <color theme="7"/>
      </top>
      <bottom style="thick">
        <color theme="7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theme="7"/>
      </right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theme="9"/>
      </right>
      <top/>
      <bottom/>
      <diagonal/>
    </border>
    <border>
      <left style="thick">
        <color theme="9"/>
      </left>
      <right style="thick">
        <color theme="9"/>
      </right>
      <top/>
      <bottom style="thick">
        <color theme="9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theme="7"/>
      </left>
      <right style="thick">
        <color theme="7"/>
      </right>
      <top/>
      <bottom style="thick">
        <color theme="7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ck">
        <color theme="7"/>
      </left>
      <right style="thick">
        <color theme="7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70AD47"/>
      </left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 style="medium">
        <color rgb="FF70AD47"/>
      </left>
      <right style="medium">
        <color rgb="FF70AD47"/>
      </right>
      <top/>
      <bottom style="medium">
        <color rgb="FF70AD47"/>
      </bottom>
      <diagonal/>
    </border>
    <border>
      <left style="thick">
        <color theme="9"/>
      </left>
      <right style="thick">
        <color theme="9"/>
      </right>
      <top/>
      <bottom/>
      <diagonal/>
    </border>
    <border>
      <left style="medium">
        <color rgb="FF70AD47"/>
      </left>
      <right style="medium">
        <color rgb="FF70AD47"/>
      </right>
      <top style="thick">
        <color rgb="FFFF0000"/>
      </top>
      <bottom/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ck">
        <color theme="7"/>
      </left>
      <right style="thick">
        <color theme="7"/>
      </right>
      <top style="thick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ck">
        <color rgb="FFFF0000"/>
      </bottom>
      <diagonal/>
    </border>
    <border>
      <left style="medium">
        <color theme="7"/>
      </left>
      <right style="medium">
        <color theme="7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 style="medium">
        <color theme="9"/>
      </right>
      <top/>
      <bottom/>
      <diagonal/>
    </border>
    <border>
      <left style="medium">
        <color theme="9"/>
      </left>
      <right style="medium">
        <color theme="9"/>
      </right>
      <top/>
      <bottom style="medium">
        <color theme="9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31" fillId="0" borderId="0"/>
  </cellStyleXfs>
  <cellXfs count="990">
    <xf numFmtId="0" fontId="0" fillId="0" borderId="0" xfId="0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9" fontId="4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6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9" fillId="4" borderId="0" xfId="3" applyFill="1" applyAlignment="1">
      <alignment horizontal="center"/>
    </xf>
    <xf numFmtId="0" fontId="10" fillId="4" borderId="0" xfId="3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5" borderId="0" xfId="0" applyFont="1" applyFill="1" applyAlignment="1">
      <alignment horizontal="center" wrapText="1"/>
    </xf>
    <xf numFmtId="0" fontId="0" fillId="5" borderId="3" xfId="0" applyFill="1" applyBorder="1" applyAlignment="1">
      <alignment horizontal="center"/>
    </xf>
    <xf numFmtId="0" fontId="9" fillId="5" borderId="0" xfId="3" applyFill="1" applyAlignment="1">
      <alignment horizontal="center"/>
    </xf>
    <xf numFmtId="0" fontId="0" fillId="5" borderId="0" xfId="0" applyFill="1" applyAlignment="1">
      <alignment horizontal="center" wrapText="1"/>
    </xf>
    <xf numFmtId="0" fontId="10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3" xfId="0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11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9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9" fillId="0" borderId="0" xfId="3" applyFill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7" borderId="0" xfId="0" applyFill="1" applyAlignment="1">
      <alignment horizontal="center" wrapText="1"/>
    </xf>
    <xf numFmtId="0" fontId="9" fillId="7" borderId="0" xfId="3" applyFill="1" applyAlignment="1">
      <alignment horizontal="center"/>
    </xf>
    <xf numFmtId="0" fontId="0" fillId="7" borderId="0" xfId="0" applyFill="1"/>
    <xf numFmtId="0" fontId="10" fillId="7" borderId="0" xfId="3" applyFont="1" applyFill="1" applyAlignment="1">
      <alignment horizontal="center"/>
    </xf>
    <xf numFmtId="0" fontId="0" fillId="4" borderId="0" xfId="0" applyFill="1"/>
    <xf numFmtId="0" fontId="0" fillId="8" borderId="0" xfId="0" applyFill="1" applyAlignment="1">
      <alignment horizontal="center" wrapText="1"/>
    </xf>
    <xf numFmtId="0" fontId="0" fillId="10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1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11" borderId="0" xfId="0" applyFill="1"/>
    <xf numFmtId="0" fontId="3" fillId="5" borderId="14" xfId="0" applyFont="1" applyFill="1" applyBorder="1"/>
    <xf numFmtId="0" fontId="2" fillId="5" borderId="14" xfId="0" applyFont="1" applyFill="1" applyBorder="1" applyAlignment="1">
      <alignment horizontal="center" vertical="center"/>
    </xf>
    <xf numFmtId="164" fontId="3" fillId="5" borderId="14" xfId="0" applyNumberFormat="1" applyFont="1" applyFill="1" applyBorder="1" applyAlignment="1">
      <alignment horizontal="center" vertical="center"/>
    </xf>
    <xf numFmtId="0" fontId="0" fillId="0" borderId="15" xfId="0" applyBorder="1"/>
    <xf numFmtId="0" fontId="3" fillId="5" borderId="16" xfId="0" applyFont="1" applyFill="1" applyBorder="1"/>
    <xf numFmtId="0" fontId="2" fillId="5" borderId="16" xfId="0" applyFont="1" applyFill="1" applyBorder="1" applyAlignment="1">
      <alignment horizontal="center" vertical="center"/>
    </xf>
    <xf numFmtId="164" fontId="3" fillId="5" borderId="16" xfId="0" applyNumberFormat="1" applyFont="1" applyFill="1" applyBorder="1" applyAlignment="1">
      <alignment horizontal="center" vertical="center"/>
    </xf>
    <xf numFmtId="0" fontId="0" fillId="0" borderId="16" xfId="0" applyBorder="1"/>
    <xf numFmtId="0" fontId="2" fillId="9" borderId="16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vertical="center" wrapText="1"/>
    </xf>
    <xf numFmtId="0" fontId="0" fillId="5" borderId="16" xfId="0" applyFill="1" applyBorder="1" applyAlignment="1">
      <alignment horizontal="center" vertical="center"/>
    </xf>
    <xf numFmtId="164" fontId="2" fillId="5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/>
    <xf numFmtId="0" fontId="2" fillId="4" borderId="16" xfId="0" applyFont="1" applyFill="1" applyBorder="1" applyAlignment="1">
      <alignment horizontal="center" vertical="center"/>
    </xf>
    <xf numFmtId="164" fontId="2" fillId="4" borderId="16" xfId="0" applyNumberFormat="1" applyFont="1" applyFill="1" applyBorder="1" applyAlignment="1">
      <alignment horizontal="center"/>
    </xf>
    <xf numFmtId="0" fontId="0" fillId="7" borderId="16" xfId="0" applyFill="1" applyBorder="1"/>
    <xf numFmtId="0" fontId="3" fillId="7" borderId="16" xfId="0" applyFont="1" applyFill="1" applyBorder="1"/>
    <xf numFmtId="0" fontId="2" fillId="7" borderId="16" xfId="0" applyFont="1" applyFill="1" applyBorder="1" applyAlignment="1">
      <alignment horizontal="center" vertical="center"/>
    </xf>
    <xf numFmtId="164" fontId="2" fillId="7" borderId="16" xfId="0" applyNumberFormat="1" applyFont="1" applyFill="1" applyBorder="1" applyAlignment="1">
      <alignment horizontal="center"/>
    </xf>
    <xf numFmtId="0" fontId="3" fillId="5" borderId="17" xfId="0" applyFont="1" applyFill="1" applyBorder="1"/>
    <xf numFmtId="0" fontId="2" fillId="5" borderId="17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164" fontId="3" fillId="5" borderId="17" xfId="0" applyNumberFormat="1" applyFont="1" applyFill="1" applyBorder="1" applyAlignment="1">
      <alignment horizontal="center" vertical="center"/>
    </xf>
    <xf numFmtId="0" fontId="0" fillId="0" borderId="17" xfId="0" applyBorder="1"/>
    <xf numFmtId="0" fontId="7" fillId="5" borderId="17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vertical="center" wrapText="1"/>
    </xf>
    <xf numFmtId="0" fontId="0" fillId="5" borderId="17" xfId="0" applyFill="1" applyBorder="1" applyAlignment="1">
      <alignment horizontal="center" vertical="center"/>
    </xf>
    <xf numFmtId="0" fontId="3" fillId="7" borderId="17" xfId="0" applyFont="1" applyFill="1" applyBorder="1"/>
    <xf numFmtId="0" fontId="2" fillId="7" borderId="17" xfId="0" applyFont="1" applyFill="1" applyBorder="1" applyAlignment="1">
      <alignment horizontal="center" vertical="center"/>
    </xf>
    <xf numFmtId="164" fontId="3" fillId="7" borderId="17" xfId="0" applyNumberFormat="1" applyFont="1" applyFill="1" applyBorder="1" applyAlignment="1">
      <alignment horizontal="center" vertical="center"/>
    </xf>
    <xf numFmtId="0" fontId="0" fillId="7" borderId="17" xfId="0" applyFill="1" applyBorder="1"/>
    <xf numFmtId="0" fontId="2" fillId="7" borderId="17" xfId="0" applyFont="1" applyFill="1" applyBorder="1" applyAlignment="1">
      <alignment horizontal="center"/>
    </xf>
    <xf numFmtId="0" fontId="3" fillId="5" borderId="18" xfId="0" applyFont="1" applyFill="1" applyBorder="1"/>
    <xf numFmtId="0" fontId="2" fillId="5" borderId="18" xfId="0" applyFont="1" applyFill="1" applyBorder="1" applyAlignment="1">
      <alignment horizontal="center" vertical="center"/>
    </xf>
    <xf numFmtId="164" fontId="3" fillId="5" borderId="18" xfId="0" applyNumberFormat="1" applyFont="1" applyFill="1" applyBorder="1" applyAlignment="1">
      <alignment horizontal="center" vertical="center"/>
    </xf>
    <xf numFmtId="0" fontId="0" fillId="0" borderId="18" xfId="0" applyBorder="1"/>
    <xf numFmtId="0" fontId="3" fillId="4" borderId="18" xfId="0" applyFont="1" applyFill="1" applyBorder="1"/>
    <xf numFmtId="0" fontId="2" fillId="4" borderId="18" xfId="0" applyFont="1" applyFill="1" applyBorder="1" applyAlignment="1">
      <alignment horizontal="center" vertical="center"/>
    </xf>
    <xf numFmtId="164" fontId="2" fillId="4" borderId="18" xfId="0" applyNumberFormat="1" applyFont="1" applyFill="1" applyBorder="1" applyAlignment="1">
      <alignment horizontal="center"/>
    </xf>
    <xf numFmtId="0" fontId="3" fillId="7" borderId="18" xfId="0" applyFont="1" applyFill="1" applyBorder="1"/>
    <xf numFmtId="0" fontId="2" fillId="7" borderId="18" xfId="0" applyFont="1" applyFill="1" applyBorder="1" applyAlignment="1">
      <alignment horizontal="center" vertical="center"/>
    </xf>
    <xf numFmtId="164" fontId="2" fillId="7" borderId="18" xfId="0" applyNumberFormat="1" applyFont="1" applyFill="1" applyBorder="1" applyAlignment="1">
      <alignment horizontal="center"/>
    </xf>
    <xf numFmtId="0" fontId="0" fillId="7" borderId="18" xfId="0" applyFill="1" applyBorder="1"/>
    <xf numFmtId="164" fontId="3" fillId="11" borderId="17" xfId="0" applyNumberFormat="1" applyFont="1" applyFill="1" applyBorder="1" applyAlignment="1">
      <alignment horizontal="center" vertical="center"/>
    </xf>
    <xf numFmtId="164" fontId="19" fillId="12" borderId="17" xfId="0" applyNumberFormat="1" applyFont="1" applyFill="1" applyBorder="1" applyAlignment="1">
      <alignment horizontal="center" vertical="center"/>
    </xf>
    <xf numFmtId="164" fontId="3" fillId="12" borderId="17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 wrapText="1"/>
    </xf>
    <xf numFmtId="0" fontId="19" fillId="13" borderId="0" xfId="0" applyFont="1" applyFill="1" applyAlignment="1">
      <alignment horizontal="center" vertical="center"/>
    </xf>
    <xf numFmtId="0" fontId="19" fillId="1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14" borderId="0" xfId="0" applyFont="1" applyFill="1" applyAlignment="1">
      <alignment horizontal="center" vertical="center"/>
    </xf>
    <xf numFmtId="0" fontId="19" fillId="14" borderId="0" xfId="0" applyFont="1" applyFill="1" applyAlignment="1">
      <alignment horizontal="center" vertical="center" wrapText="1"/>
    </xf>
    <xf numFmtId="0" fontId="19" fillId="15" borderId="0" xfId="0" applyFont="1" applyFill="1" applyAlignment="1">
      <alignment horizontal="center" vertical="center"/>
    </xf>
    <xf numFmtId="0" fontId="19" fillId="15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9" fillId="18" borderId="0" xfId="0" applyFont="1" applyFill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12" fillId="21" borderId="0" xfId="0" applyFont="1" applyFill="1" applyAlignment="1">
      <alignment horizontal="center"/>
    </xf>
    <xf numFmtId="0" fontId="0" fillId="21" borderId="0" xfId="0" applyFill="1" applyAlignment="1">
      <alignment horizontal="center"/>
    </xf>
    <xf numFmtId="0" fontId="0" fillId="21" borderId="0" xfId="0" applyFill="1"/>
    <xf numFmtId="0" fontId="0" fillId="0" borderId="0" xfId="0" quotePrefix="1"/>
    <xf numFmtId="0" fontId="0" fillId="10" borderId="0" xfId="0" quotePrefix="1" applyFill="1"/>
    <xf numFmtId="0" fontId="15" fillId="0" borderId="20" xfId="0" applyFont="1" applyBorder="1" applyAlignment="1">
      <alignment horizontal="center"/>
    </xf>
    <xf numFmtId="0" fontId="4" fillId="2" borderId="21" xfId="0" applyFont="1" applyFill="1" applyBorder="1" applyAlignment="1">
      <alignment horizontal="center" vertical="center"/>
    </xf>
    <xf numFmtId="164" fontId="4" fillId="3" borderId="22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22" borderId="0" xfId="0" applyFill="1"/>
    <xf numFmtId="164" fontId="4" fillId="22" borderId="23" xfId="0" applyNumberFormat="1" applyFont="1" applyFill="1" applyBorder="1" applyAlignment="1">
      <alignment horizontal="center" vertical="center" wrapText="1"/>
    </xf>
    <xf numFmtId="0" fontId="0" fillId="22" borderId="0" xfId="0" applyFill="1" applyAlignment="1">
      <alignment horizontal="center"/>
    </xf>
    <xf numFmtId="165" fontId="21" fillId="10" borderId="0" xfId="0" applyNumberFormat="1" applyFont="1" applyFill="1" applyAlignment="1">
      <alignment horizontal="center"/>
    </xf>
    <xf numFmtId="165" fontId="21" fillId="21" borderId="0" xfId="0" applyNumberFormat="1" applyFont="1" applyFill="1" applyAlignment="1">
      <alignment horizontal="center"/>
    </xf>
    <xf numFmtId="165" fontId="21" fillId="0" borderId="0" xfId="0" applyNumberFormat="1" applyFont="1" applyAlignment="1">
      <alignment horizontal="center"/>
    </xf>
    <xf numFmtId="1" fontId="21" fillId="5" borderId="0" xfId="0" applyNumberFormat="1" applyFont="1" applyFill="1" applyAlignment="1">
      <alignment horizontal="center"/>
    </xf>
    <xf numFmtId="1" fontId="21" fillId="21" borderId="0" xfId="0" applyNumberFormat="1" applyFont="1" applyFill="1" applyAlignment="1">
      <alignment horizontal="center"/>
    </xf>
    <xf numFmtId="1" fontId="22" fillId="5" borderId="0" xfId="0" applyNumberFormat="1" applyFont="1" applyFill="1" applyAlignment="1">
      <alignment horizontal="center"/>
    </xf>
    <xf numFmtId="1" fontId="23" fillId="21" borderId="0" xfId="0" applyNumberFormat="1" applyFont="1" applyFill="1" applyAlignment="1">
      <alignment horizontal="center"/>
    </xf>
    <xf numFmtId="1" fontId="21" fillId="11" borderId="0" xfId="0" applyNumberFormat="1" applyFont="1" applyFill="1" applyAlignment="1">
      <alignment horizontal="center"/>
    </xf>
    <xf numFmtId="1" fontId="21" fillId="4" borderId="0" xfId="0" applyNumberFormat="1" applyFont="1" applyFill="1" applyAlignment="1">
      <alignment horizontal="center"/>
    </xf>
    <xf numFmtId="1" fontId="21" fillId="6" borderId="0" xfId="0" applyNumberFormat="1" applyFont="1" applyFill="1" applyAlignment="1">
      <alignment horizontal="center"/>
    </xf>
    <xf numFmtId="1" fontId="21" fillId="8" borderId="0" xfId="0" applyNumberFormat="1" applyFont="1" applyFill="1" applyAlignment="1">
      <alignment horizontal="center"/>
    </xf>
    <xf numFmtId="1" fontId="21" fillId="20" borderId="0" xfId="0" applyNumberFormat="1" applyFont="1" applyFill="1" applyAlignment="1">
      <alignment horizontal="center"/>
    </xf>
    <xf numFmtId="0" fontId="24" fillId="23" borderId="1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5" fillId="23" borderId="1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5" fillId="23" borderId="0" xfId="0" applyFont="1" applyFill="1" applyAlignment="1">
      <alignment horizontal="center" vertical="center" wrapText="1"/>
    </xf>
    <xf numFmtId="0" fontId="24" fillId="23" borderId="0" xfId="0" applyFont="1" applyFill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5" fillId="23" borderId="24" xfId="0" applyFont="1" applyFill="1" applyBorder="1" applyAlignment="1">
      <alignment horizontal="center" vertical="center" wrapText="1"/>
    </xf>
    <xf numFmtId="1" fontId="0" fillId="0" borderId="0" xfId="0" applyNumberFormat="1"/>
    <xf numFmtId="2" fontId="0" fillId="5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10" fillId="4" borderId="0" xfId="0" applyFon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" fontId="0" fillId="5" borderId="0" xfId="0" applyNumberFormat="1" applyFill="1" applyAlignment="1">
      <alignment horizontal="center" wrapText="1"/>
    </xf>
    <xf numFmtId="1" fontId="0" fillId="4" borderId="0" xfId="0" applyNumberFormat="1" applyFill="1" applyAlignment="1">
      <alignment horizontal="center" wrapText="1"/>
    </xf>
    <xf numFmtId="1" fontId="0" fillId="6" borderId="0" xfId="0" applyNumberFormat="1" applyFill="1" applyAlignment="1">
      <alignment horizontal="center" wrapText="1"/>
    </xf>
    <xf numFmtId="164" fontId="0" fillId="6" borderId="0" xfId="0" applyNumberFormat="1" applyFill="1"/>
    <xf numFmtId="164" fontId="0" fillId="6" borderId="0" xfId="0" applyNumberFormat="1" applyFill="1" applyAlignment="1">
      <alignment horizontal="center"/>
    </xf>
    <xf numFmtId="164" fontId="0" fillId="4" borderId="0" xfId="0" applyNumberFormat="1" applyFill="1"/>
    <xf numFmtId="164" fontId="0" fillId="4" borderId="0" xfId="0" applyNumberFormat="1" applyFill="1" applyAlignment="1">
      <alignment horizontal="center"/>
    </xf>
    <xf numFmtId="164" fontId="0" fillId="5" borderId="0" xfId="0" applyNumberFormat="1" applyFill="1"/>
    <xf numFmtId="165" fontId="0" fillId="5" borderId="0" xfId="0" applyNumberFormat="1" applyFill="1" applyAlignment="1">
      <alignment horizontal="center"/>
    </xf>
    <xf numFmtId="165" fontId="10" fillId="5" borderId="0" xfId="0" applyNumberFormat="1" applyFont="1" applyFill="1" applyAlignment="1">
      <alignment horizontal="center"/>
    </xf>
    <xf numFmtId="165" fontId="0" fillId="4" borderId="0" xfId="0" applyNumberFormat="1" applyFill="1" applyAlignment="1">
      <alignment horizontal="center"/>
    </xf>
    <xf numFmtId="165" fontId="0" fillId="6" borderId="0" xfId="0" applyNumberFormat="1" applyFill="1" applyAlignment="1">
      <alignment horizontal="center"/>
    </xf>
    <xf numFmtId="164" fontId="10" fillId="5" borderId="0" xfId="0" applyNumberFormat="1" applyFont="1" applyFill="1" applyAlignment="1">
      <alignment horizontal="center"/>
    </xf>
    <xf numFmtId="164" fontId="0" fillId="8" borderId="0" xfId="0" applyNumberFormat="1" applyFill="1" applyAlignment="1">
      <alignment horizontal="center"/>
    </xf>
    <xf numFmtId="164" fontId="10" fillId="5" borderId="0" xfId="0" applyNumberFormat="1" applyFont="1" applyFill="1" applyAlignment="1">
      <alignment horizontal="center" vertical="top"/>
    </xf>
    <xf numFmtId="164" fontId="10" fillId="4" borderId="0" xfId="0" applyNumberFormat="1" applyFont="1" applyFill="1" applyAlignment="1">
      <alignment horizontal="center" vertical="top"/>
    </xf>
    <xf numFmtId="164" fontId="10" fillId="6" borderId="0" xfId="0" applyNumberFormat="1" applyFont="1" applyFill="1" applyAlignment="1">
      <alignment horizontal="center" vertical="top"/>
    </xf>
    <xf numFmtId="9" fontId="0" fillId="0" borderId="0" xfId="1" applyFont="1" applyFill="1"/>
    <xf numFmtId="0" fontId="19" fillId="25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26" borderId="1" xfId="0" applyFont="1" applyFill="1" applyBorder="1" applyAlignment="1">
      <alignment horizontal="center"/>
    </xf>
    <xf numFmtId="0" fontId="19" fillId="27" borderId="1" xfId="0" applyFont="1" applyFill="1" applyBorder="1" applyAlignment="1">
      <alignment horizontal="center"/>
    </xf>
    <xf numFmtId="0" fontId="19" fillId="28" borderId="1" xfId="0" applyFont="1" applyFill="1" applyBorder="1" applyAlignment="1">
      <alignment horizontal="center"/>
    </xf>
    <xf numFmtId="0" fontId="28" fillId="28" borderId="1" xfId="0" applyFont="1" applyFill="1" applyBorder="1" applyAlignment="1">
      <alignment horizontal="center"/>
    </xf>
    <xf numFmtId="0" fontId="19" fillId="29" borderId="1" xfId="0" applyFont="1" applyFill="1" applyBorder="1" applyAlignment="1">
      <alignment horizontal="center"/>
    </xf>
    <xf numFmtId="0" fontId="19" fillId="30" borderId="1" xfId="0" applyFont="1" applyFill="1" applyBorder="1" applyAlignment="1">
      <alignment horizontal="center"/>
    </xf>
    <xf numFmtId="0" fontId="28" fillId="30" borderId="1" xfId="0" applyFont="1" applyFill="1" applyBorder="1" applyAlignment="1">
      <alignment horizontal="center"/>
    </xf>
    <xf numFmtId="0" fontId="0" fillId="21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1" borderId="0" xfId="0" applyFill="1" applyAlignment="1">
      <alignment vertical="center"/>
    </xf>
    <xf numFmtId="0" fontId="0" fillId="23" borderId="0" xfId="0" applyFill="1" applyAlignment="1">
      <alignment horizontal="center"/>
    </xf>
    <xf numFmtId="0" fontId="7" fillId="9" borderId="0" xfId="0" applyFont="1" applyFill="1" applyAlignment="1">
      <alignment horizontal="center"/>
    </xf>
    <xf numFmtId="0" fontId="29" fillId="9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14" fontId="7" fillId="9" borderId="0" xfId="0" applyNumberFormat="1" applyFont="1" applyFill="1" applyAlignment="1">
      <alignment horizontal="center"/>
    </xf>
    <xf numFmtId="11" fontId="7" fillId="9" borderId="0" xfId="0" applyNumberFormat="1" applyFont="1" applyFill="1" applyAlignment="1">
      <alignment horizontal="center"/>
    </xf>
    <xf numFmtId="0" fontId="7" fillId="9" borderId="27" xfId="0" applyFont="1" applyFill="1" applyBorder="1" applyAlignment="1">
      <alignment horizontal="center" wrapText="1"/>
    </xf>
    <xf numFmtId="0" fontId="7" fillId="9" borderId="28" xfId="0" applyFont="1" applyFill="1" applyBorder="1" applyAlignment="1">
      <alignment horizontal="center" wrapText="1"/>
    </xf>
    <xf numFmtId="0" fontId="7" fillId="9" borderId="29" xfId="0" applyFont="1" applyFill="1" applyBorder="1" applyAlignment="1">
      <alignment horizontal="center" wrapText="1"/>
    </xf>
    <xf numFmtId="0" fontId="25" fillId="9" borderId="30" xfId="0" applyFont="1" applyFill="1" applyBorder="1" applyAlignment="1">
      <alignment horizontal="center" wrapText="1"/>
    </xf>
    <xf numFmtId="0" fontId="25" fillId="9" borderId="0" xfId="0" applyFont="1" applyFill="1" applyAlignment="1">
      <alignment horizontal="center" wrapText="1"/>
    </xf>
    <xf numFmtId="0" fontId="7" fillId="9" borderId="31" xfId="0" applyFont="1" applyFill="1" applyBorder="1" applyAlignment="1">
      <alignment horizontal="center" wrapText="1"/>
    </xf>
    <xf numFmtId="0" fontId="25" fillId="9" borderId="30" xfId="0" applyFont="1" applyFill="1" applyBorder="1" applyAlignment="1">
      <alignment horizontal="center"/>
    </xf>
    <xf numFmtId="0" fontId="7" fillId="9" borderId="0" xfId="0" applyFont="1" applyFill="1" applyAlignment="1">
      <alignment horizontal="center" wrapText="1"/>
    </xf>
    <xf numFmtId="0" fontId="25" fillId="9" borderId="32" xfId="0" applyFont="1" applyFill="1" applyBorder="1" applyAlignment="1">
      <alignment horizontal="center"/>
    </xf>
    <xf numFmtId="0" fontId="7" fillId="9" borderId="19" xfId="0" applyFont="1" applyFill="1" applyBorder="1" applyAlignment="1">
      <alignment horizontal="center" wrapText="1"/>
    </xf>
    <xf numFmtId="0" fontId="30" fillId="9" borderId="0" xfId="0" applyFont="1" applyFill="1" applyAlignment="1">
      <alignment horizontal="center"/>
    </xf>
    <xf numFmtId="0" fontId="2" fillId="9" borderId="20" xfId="0" applyFont="1" applyFill="1" applyBorder="1" applyAlignment="1">
      <alignment horizontal="center"/>
    </xf>
    <xf numFmtId="0" fontId="7" fillId="9" borderId="20" xfId="0" applyFont="1" applyFill="1" applyBorder="1" applyAlignment="1">
      <alignment horizontal="center"/>
    </xf>
    <xf numFmtId="14" fontId="7" fillId="9" borderId="20" xfId="0" applyNumberFormat="1" applyFont="1" applyFill="1" applyBorder="1" applyAlignment="1">
      <alignment horizontal="center"/>
    </xf>
    <xf numFmtId="0" fontId="25" fillId="9" borderId="20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28" fillId="9" borderId="0" xfId="0" applyFont="1" applyFill="1" applyAlignment="1">
      <alignment horizontal="center"/>
    </xf>
    <xf numFmtId="0" fontId="31" fillId="32" borderId="25" xfId="0" applyFont="1" applyFill="1" applyBorder="1"/>
    <xf numFmtId="0" fontId="31" fillId="33" borderId="25" xfId="0" applyFont="1" applyFill="1" applyBorder="1"/>
    <xf numFmtId="0" fontId="31" fillId="32" borderId="33" xfId="0" applyFont="1" applyFill="1" applyBorder="1"/>
    <xf numFmtId="0" fontId="31" fillId="33" borderId="33" xfId="0" applyFont="1" applyFill="1" applyBorder="1"/>
    <xf numFmtId="0" fontId="31" fillId="33" borderId="1" xfId="0" applyFont="1" applyFill="1" applyBorder="1"/>
    <xf numFmtId="0" fontId="31" fillId="33" borderId="15" xfId="0" applyFont="1" applyFill="1" applyBorder="1"/>
    <xf numFmtId="0" fontId="19" fillId="9" borderId="0" xfId="0" applyFont="1" applyFill="1" applyAlignment="1">
      <alignment horizontal="center"/>
    </xf>
    <xf numFmtId="0" fontId="32" fillId="9" borderId="0" xfId="0" applyFont="1" applyFill="1" applyAlignment="1">
      <alignment horizontal="center"/>
    </xf>
    <xf numFmtId="0" fontId="0" fillId="0" borderId="34" xfId="0" applyBorder="1"/>
    <xf numFmtId="164" fontId="4" fillId="3" borderId="0" xfId="0" applyNumberFormat="1" applyFont="1" applyFill="1" applyAlignment="1">
      <alignment horizontal="center" vertical="center"/>
    </xf>
    <xf numFmtId="1" fontId="21" fillId="34" borderId="0" xfId="0" applyNumberFormat="1" applyFont="1" applyFill="1" applyAlignment="1">
      <alignment horizontal="center"/>
    </xf>
    <xf numFmtId="1" fontId="23" fillId="34" borderId="0" xfId="0" applyNumberFormat="1" applyFont="1" applyFill="1" applyAlignment="1">
      <alignment horizontal="center"/>
    </xf>
    <xf numFmtId="1" fontId="0" fillId="5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5" fillId="6" borderId="16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25" fillId="23" borderId="20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wrapText="1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24" borderId="0" xfId="2" applyFill="1" applyAlignment="1">
      <alignment horizontal="center"/>
    </xf>
    <xf numFmtId="0" fontId="2" fillId="0" borderId="0" xfId="2" applyAlignment="1">
      <alignment horizontal="center"/>
    </xf>
    <xf numFmtId="0" fontId="2" fillId="7" borderId="0" xfId="2" applyFill="1" applyAlignment="1">
      <alignment horizontal="center"/>
    </xf>
    <xf numFmtId="164" fontId="2" fillId="7" borderId="0" xfId="2" applyNumberFormat="1" applyFill="1" applyAlignment="1">
      <alignment horizontal="center"/>
    </xf>
    <xf numFmtId="0" fontId="15" fillId="0" borderId="0" xfId="0" applyFont="1" applyAlignment="1">
      <alignment horizontal="center" vertical="center" wrapText="1"/>
    </xf>
    <xf numFmtId="164" fontId="33" fillId="7" borderId="0" xfId="2" applyNumberFormat="1" applyFont="1" applyFill="1" applyAlignment="1">
      <alignment horizontal="center"/>
    </xf>
    <xf numFmtId="164" fontId="2" fillId="0" borderId="0" xfId="2" applyNumberFormat="1" applyAlignment="1">
      <alignment horizontal="center"/>
    </xf>
    <xf numFmtId="2" fontId="0" fillId="8" borderId="0" xfId="0" applyNumberFormat="1" applyFill="1" applyAlignment="1">
      <alignment horizontal="center"/>
    </xf>
    <xf numFmtId="2" fontId="10" fillId="5" borderId="0" xfId="0" applyNumberFormat="1" applyFont="1" applyFill="1" applyAlignment="1">
      <alignment horizontal="center"/>
    </xf>
    <xf numFmtId="2" fontId="10" fillId="5" borderId="0" xfId="0" applyNumberFormat="1" applyFont="1" applyFill="1" applyAlignment="1">
      <alignment horizontal="center" vertical="top"/>
    </xf>
    <xf numFmtId="2" fontId="10" fillId="4" borderId="0" xfId="0" applyNumberFormat="1" applyFont="1" applyFill="1" applyAlignment="1">
      <alignment horizontal="center" vertical="top"/>
    </xf>
    <xf numFmtId="2" fontId="10" fillId="6" borderId="0" xfId="0" applyNumberFormat="1" applyFont="1" applyFill="1" applyAlignment="1">
      <alignment horizontal="center" vertical="top"/>
    </xf>
    <xf numFmtId="0" fontId="25" fillId="23" borderId="1" xfId="0" applyFont="1" applyFill="1" applyBorder="1" applyAlignment="1">
      <alignment horizontal="center" vertical="center" wrapText="1"/>
    </xf>
    <xf numFmtId="0" fontId="4" fillId="9" borderId="0" xfId="2" applyFont="1" applyFill="1" applyAlignment="1">
      <alignment horizontal="center"/>
    </xf>
    <xf numFmtId="0" fontId="4" fillId="7" borderId="0" xfId="2" applyFont="1" applyFill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10" fillId="0" borderId="0" xfId="0" applyFont="1" applyAlignment="1">
      <alignment vertical="top"/>
    </xf>
    <xf numFmtId="0" fontId="27" fillId="0" borderId="0" xfId="0" applyFont="1" applyAlignment="1">
      <alignment horizontal="center"/>
    </xf>
    <xf numFmtId="164" fontId="34" fillId="0" borderId="0" xfId="0" applyNumberFormat="1" applyFont="1" applyAlignment="1">
      <alignment horizontal="center"/>
    </xf>
    <xf numFmtId="0" fontId="35" fillId="2" borderId="16" xfId="0" applyFont="1" applyFill="1" applyBorder="1" applyAlignment="1">
      <alignment horizontal="center" vertical="center" wrapText="1"/>
    </xf>
    <xf numFmtId="0" fontId="36" fillId="2" borderId="16" xfId="0" applyFont="1" applyFill="1" applyBorder="1" applyAlignment="1">
      <alignment horizontal="center" vertical="center" wrapText="1"/>
    </xf>
    <xf numFmtId="0" fontId="26" fillId="0" borderId="0" xfId="0" applyFont="1"/>
    <xf numFmtId="0" fontId="4" fillId="6" borderId="0" xfId="2" applyFont="1" applyFill="1" applyAlignment="1">
      <alignment horizontal="center"/>
    </xf>
    <xf numFmtId="2" fontId="2" fillId="6" borderId="0" xfId="1" applyNumberFormat="1" applyFont="1" applyFill="1" applyAlignment="1">
      <alignment horizontal="center"/>
    </xf>
    <xf numFmtId="2" fontId="2" fillId="5" borderId="0" xfId="1" applyNumberFormat="1" applyFont="1" applyFill="1" applyAlignment="1">
      <alignment horizontal="center"/>
    </xf>
    <xf numFmtId="2" fontId="2" fillId="4" borderId="0" xfId="1" applyNumberFormat="1" applyFont="1" applyFill="1" applyAlignment="1">
      <alignment horizontal="center"/>
    </xf>
    <xf numFmtId="0" fontId="15" fillId="0" borderId="37" xfId="0" applyFont="1" applyBorder="1"/>
    <xf numFmtId="0" fontId="0" fillId="22" borderId="38" xfId="0" applyFill="1" applyBorder="1"/>
    <xf numFmtId="0" fontId="0" fillId="0" borderId="38" xfId="0" applyBorder="1"/>
    <xf numFmtId="0" fontId="0" fillId="22" borderId="39" xfId="0" applyFill="1" applyBorder="1"/>
    <xf numFmtId="0" fontId="0" fillId="22" borderId="35" xfId="0" applyFill="1" applyBorder="1"/>
    <xf numFmtId="9" fontId="0" fillId="22" borderId="35" xfId="0" applyNumberFormat="1" applyFill="1" applyBorder="1"/>
    <xf numFmtId="10" fontId="0" fillId="22" borderId="35" xfId="0" applyNumberFormat="1" applyFill="1" applyBorder="1"/>
    <xf numFmtId="0" fontId="0" fillId="0" borderId="40" xfId="0" applyBorder="1"/>
    <xf numFmtId="0" fontId="0" fillId="22" borderId="36" xfId="0" applyFill="1" applyBorder="1"/>
    <xf numFmtId="0" fontId="0" fillId="0" borderId="36" xfId="0" applyBorder="1"/>
    <xf numFmtId="0" fontId="0" fillId="22" borderId="33" xfId="0" applyFill="1" applyBorder="1"/>
    <xf numFmtId="0" fontId="31" fillId="0" borderId="0" xfId="4"/>
    <xf numFmtId="3" fontId="31" fillId="0" borderId="0" xfId="4" applyNumberFormat="1"/>
    <xf numFmtId="0" fontId="37" fillId="35" borderId="38" xfId="4" applyFont="1" applyFill="1" applyBorder="1" applyAlignment="1">
      <alignment horizontal="left" vertical="center"/>
    </xf>
    <xf numFmtId="0" fontId="37" fillId="35" borderId="38" xfId="4" applyFont="1" applyFill="1" applyBorder="1" applyAlignment="1">
      <alignment horizontal="center" vertical="center" wrapText="1"/>
    </xf>
    <xf numFmtId="0" fontId="37" fillId="35" borderId="38" xfId="4" applyFont="1" applyFill="1" applyBorder="1" applyAlignment="1">
      <alignment horizontal="center" vertical="center"/>
    </xf>
    <xf numFmtId="0" fontId="31" fillId="0" borderId="0" xfId="4" applyAlignment="1">
      <alignment horizontal="center"/>
    </xf>
    <xf numFmtId="0" fontId="37" fillId="35" borderId="0" xfId="4" applyFont="1" applyFill="1" applyAlignment="1">
      <alignment horizontal="left" vertical="center"/>
    </xf>
    <xf numFmtId="0" fontId="37" fillId="35" borderId="0" xfId="4" applyFont="1" applyFill="1" applyAlignment="1">
      <alignment horizontal="center" vertical="center" wrapText="1"/>
    </xf>
    <xf numFmtId="0" fontId="37" fillId="35" borderId="0" xfId="4" applyFont="1" applyFill="1" applyAlignment="1">
      <alignment horizontal="center" vertical="center"/>
    </xf>
    <xf numFmtId="0" fontId="31" fillId="24" borderId="0" xfId="4" applyFill="1" applyAlignment="1">
      <alignment horizontal="center"/>
    </xf>
    <xf numFmtId="0" fontId="38" fillId="36" borderId="38" xfId="4" applyFont="1" applyFill="1" applyBorder="1" applyAlignment="1">
      <alignment horizontal="left" vertical="center"/>
    </xf>
    <xf numFmtId="2" fontId="38" fillId="36" borderId="38" xfId="4" applyNumberFormat="1" applyFont="1" applyFill="1" applyBorder="1" applyAlignment="1">
      <alignment horizontal="left" vertical="center"/>
    </xf>
    <xf numFmtId="2" fontId="38" fillId="36" borderId="38" xfId="4" applyNumberFormat="1" applyFont="1" applyFill="1" applyBorder="1" applyAlignment="1">
      <alignment horizontal="center" vertical="center"/>
    </xf>
    <xf numFmtId="0" fontId="38" fillId="36" borderId="0" xfId="4" applyFont="1" applyFill="1" applyAlignment="1">
      <alignment horizontal="left" vertical="center"/>
    </xf>
    <xf numFmtId="2" fontId="38" fillId="36" borderId="0" xfId="4" applyNumberFormat="1" applyFont="1" applyFill="1" applyAlignment="1">
      <alignment horizontal="left" vertical="center"/>
    </xf>
    <xf numFmtId="2" fontId="38" fillId="36" borderId="0" xfId="4" applyNumberFormat="1" applyFont="1" applyFill="1" applyAlignment="1">
      <alignment horizontal="center" vertical="center"/>
    </xf>
    <xf numFmtId="0" fontId="38" fillId="36" borderId="0" xfId="4" applyFont="1" applyFill="1" applyAlignment="1">
      <alignment horizontal="left"/>
    </xf>
    <xf numFmtId="0" fontId="38" fillId="36" borderId="0" xfId="4" applyFont="1" applyFill="1"/>
    <xf numFmtId="2" fontId="38" fillId="36" borderId="0" xfId="4" applyNumberFormat="1" applyFont="1" applyFill="1"/>
    <xf numFmtId="2" fontId="38" fillId="36" borderId="0" xfId="4" applyNumberFormat="1" applyFont="1" applyFill="1" applyAlignment="1">
      <alignment horizontal="center"/>
    </xf>
    <xf numFmtId="0" fontId="38" fillId="36" borderId="0" xfId="4" applyFont="1" applyFill="1" applyAlignment="1">
      <alignment horizontal="center" vertical="center"/>
    </xf>
    <xf numFmtId="2" fontId="38" fillId="0" borderId="0" xfId="4" applyNumberFormat="1" applyFont="1" applyAlignment="1">
      <alignment horizontal="center" vertical="center"/>
    </xf>
    <xf numFmtId="164" fontId="38" fillId="0" borderId="0" xfId="4" applyNumberFormat="1" applyFont="1" applyAlignment="1">
      <alignment horizontal="center" vertical="center"/>
    </xf>
    <xf numFmtId="2" fontId="31" fillId="0" borderId="0" xfId="4" applyNumberFormat="1" applyAlignment="1">
      <alignment horizontal="center"/>
    </xf>
    <xf numFmtId="2" fontId="39" fillId="36" borderId="0" xfId="4" applyNumberFormat="1" applyFont="1" applyFill="1" applyAlignment="1">
      <alignment horizontal="center" vertical="center"/>
    </xf>
    <xf numFmtId="164" fontId="39" fillId="36" borderId="0" xfId="4" applyNumberFormat="1" applyFont="1" applyFill="1" applyAlignment="1">
      <alignment horizontal="center" vertical="center"/>
    </xf>
    <xf numFmtId="0" fontId="0" fillId="8" borderId="0" xfId="0" applyFill="1" applyAlignment="1">
      <alignment horizontal="center" vertical="top"/>
    </xf>
    <xf numFmtId="0" fontId="2" fillId="0" borderId="0" xfId="2" applyAlignment="1">
      <alignment horizontal="left"/>
    </xf>
    <xf numFmtId="0" fontId="2" fillId="0" borderId="0" xfId="2"/>
    <xf numFmtId="0" fontId="2" fillId="37" borderId="0" xfId="2" applyFill="1"/>
    <xf numFmtId="0" fontId="2" fillId="37" borderId="0" xfId="2" applyFill="1" applyAlignment="1">
      <alignment horizontal="center"/>
    </xf>
    <xf numFmtId="0" fontId="2" fillId="31" borderId="0" xfId="2" applyFill="1" applyAlignment="1">
      <alignment horizontal="center"/>
    </xf>
    <xf numFmtId="0" fontId="2" fillId="31" borderId="0" xfId="2" applyFill="1"/>
    <xf numFmtId="166" fontId="2" fillId="0" borderId="0" xfId="2" applyNumberFormat="1" applyAlignment="1">
      <alignment horizontal="center"/>
    </xf>
    <xf numFmtId="0" fontId="2" fillId="6" borderId="0" xfId="2" applyFill="1" applyAlignment="1">
      <alignment horizontal="left"/>
    </xf>
    <xf numFmtId="166" fontId="2" fillId="6" borderId="0" xfId="2" applyNumberFormat="1" applyFill="1" applyAlignment="1">
      <alignment horizontal="center"/>
    </xf>
    <xf numFmtId="0" fontId="2" fillId="6" borderId="0" xfId="2" applyFill="1" applyAlignment="1">
      <alignment horizontal="center"/>
    </xf>
    <xf numFmtId="0" fontId="2" fillId="6" borderId="0" xfId="2" applyFill="1"/>
    <xf numFmtId="0" fontId="2" fillId="5" borderId="0" xfId="2" applyFill="1" applyAlignment="1">
      <alignment horizontal="center"/>
    </xf>
    <xf numFmtId="0" fontId="19" fillId="0" borderId="0" xfId="0" applyFont="1"/>
    <xf numFmtId="0" fontId="28" fillId="0" borderId="0" xfId="2" applyFont="1" applyAlignment="1">
      <alignment horizontal="left"/>
    </xf>
    <xf numFmtId="0" fontId="28" fillId="0" borderId="0" xfId="2" applyFont="1" applyAlignment="1">
      <alignment horizontal="center"/>
    </xf>
    <xf numFmtId="0" fontId="2" fillId="0" borderId="41" xfId="2" applyBorder="1" applyAlignment="1">
      <alignment horizontal="left"/>
    </xf>
    <xf numFmtId="0" fontId="2" fillId="0" borderId="42" xfId="2" applyBorder="1" applyAlignment="1">
      <alignment horizontal="center"/>
    </xf>
    <xf numFmtId="0" fontId="2" fillId="0" borderId="43" xfId="2" applyBorder="1" applyAlignment="1">
      <alignment horizontal="center"/>
    </xf>
    <xf numFmtId="166" fontId="2" fillId="0" borderId="0" xfId="2" applyNumberFormat="1"/>
    <xf numFmtId="0" fontId="8" fillId="15" borderId="0" xfId="0" applyFont="1" applyFill="1" applyAlignment="1">
      <alignment horizontal="center" vertical="center"/>
    </xf>
    <xf numFmtId="168" fontId="3" fillId="13" borderId="0" xfId="0" applyNumberFormat="1" applyFont="1" applyFill="1" applyAlignment="1">
      <alignment horizontal="center" vertical="center"/>
    </xf>
    <xf numFmtId="0" fontId="19" fillId="39" borderId="0" xfId="0" applyFont="1" applyFill="1" applyAlignment="1">
      <alignment horizontal="center" vertical="center"/>
    </xf>
    <xf numFmtId="0" fontId="2" fillId="13" borderId="0" xfId="2" applyFill="1" applyAlignment="1">
      <alignment horizontal="center"/>
    </xf>
    <xf numFmtId="0" fontId="3" fillId="13" borderId="0" xfId="2" applyFont="1" applyFill="1" applyAlignment="1">
      <alignment horizontal="center"/>
    </xf>
    <xf numFmtId="164" fontId="2" fillId="13" borderId="0" xfId="2" applyNumberFormat="1" applyFill="1" applyAlignment="1">
      <alignment horizontal="center"/>
    </xf>
    <xf numFmtId="10" fontId="2" fillId="13" borderId="0" xfId="1" applyNumberFormat="1" applyFont="1" applyFill="1" applyAlignment="1">
      <alignment horizontal="center"/>
    </xf>
    <xf numFmtId="2" fontId="0" fillId="13" borderId="0" xfId="0" applyNumberFormat="1" applyFill="1" applyAlignment="1">
      <alignment horizontal="center"/>
    </xf>
    <xf numFmtId="0" fontId="7" fillId="13" borderId="0" xfId="0" applyFont="1" applyFill="1" applyAlignment="1">
      <alignment horizontal="center" vertical="center" wrapText="1"/>
    </xf>
    <xf numFmtId="169" fontId="2" fillId="13" borderId="0" xfId="2" applyNumberFormat="1" applyFill="1" applyAlignment="1">
      <alignment horizontal="center"/>
    </xf>
    <xf numFmtId="169" fontId="3" fillId="13" borderId="0" xfId="2" applyNumberFormat="1" applyFont="1" applyFill="1" applyAlignment="1">
      <alignment horizontal="center"/>
    </xf>
    <xf numFmtId="2" fontId="10" fillId="13" borderId="0" xfId="0" applyNumberFormat="1" applyFont="1" applyFill="1" applyAlignment="1">
      <alignment horizontal="center" vertical="top"/>
    </xf>
    <xf numFmtId="0" fontId="2" fillId="5" borderId="0" xfId="2" quotePrefix="1" applyFill="1" applyAlignment="1">
      <alignment horizontal="center"/>
    </xf>
    <xf numFmtId="0" fontId="3" fillId="5" borderId="0" xfId="2" quotePrefix="1" applyFont="1" applyFill="1" applyAlignment="1">
      <alignment horizontal="center"/>
    </xf>
    <xf numFmtId="164" fontId="3" fillId="5" borderId="0" xfId="2" applyNumberFormat="1" applyFont="1" applyFill="1" applyAlignment="1">
      <alignment horizontal="center"/>
    </xf>
    <xf numFmtId="164" fontId="2" fillId="5" borderId="0" xfId="2" applyNumberFormat="1" applyFill="1" applyAlignment="1">
      <alignment horizontal="center"/>
    </xf>
    <xf numFmtId="10" fontId="2" fillId="5" borderId="0" xfId="1" applyNumberFormat="1" applyFont="1" applyFill="1" applyAlignment="1">
      <alignment horizontal="center"/>
    </xf>
    <xf numFmtId="0" fontId="7" fillId="5" borderId="0" xfId="0" applyFont="1" applyFill="1" applyAlignment="1">
      <alignment horizontal="center" vertical="center" wrapText="1"/>
    </xf>
    <xf numFmtId="169" fontId="2" fillId="5" borderId="0" xfId="2" applyNumberFormat="1" applyFill="1" applyAlignment="1">
      <alignment horizontal="center"/>
    </xf>
    <xf numFmtId="169" fontId="3" fillId="5" borderId="0" xfId="2" applyNumberFormat="1" applyFont="1" applyFill="1" applyAlignment="1">
      <alignment horizontal="center"/>
    </xf>
    <xf numFmtId="0" fontId="2" fillId="4" borderId="0" xfId="2" applyFill="1" applyAlignment="1">
      <alignment horizontal="center"/>
    </xf>
    <xf numFmtId="169" fontId="2" fillId="4" borderId="0" xfId="2" applyNumberFormat="1" applyFill="1" applyAlignment="1">
      <alignment horizontal="center"/>
    </xf>
    <xf numFmtId="169" fontId="3" fillId="4" borderId="0" xfId="2" applyNumberFormat="1" applyFont="1" applyFill="1" applyAlignment="1">
      <alignment horizontal="center"/>
    </xf>
    <xf numFmtId="10" fontId="2" fillId="4" borderId="0" xfId="1" applyNumberFormat="1" applyFont="1" applyFill="1" applyAlignment="1">
      <alignment horizontal="center"/>
    </xf>
    <xf numFmtId="0" fontId="7" fillId="4" borderId="0" xfId="0" applyFont="1" applyFill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12" fillId="15" borderId="0" xfId="0" applyFont="1" applyFill="1" applyAlignment="1">
      <alignment horizontal="center" vertical="center"/>
    </xf>
    <xf numFmtId="0" fontId="12" fillId="16" borderId="0" xfId="0" applyFont="1" applyFill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/>
    </xf>
    <xf numFmtId="169" fontId="0" fillId="5" borderId="0" xfId="0" applyNumberFormat="1" applyFill="1" applyAlignment="1">
      <alignment horizontal="center"/>
    </xf>
    <xf numFmtId="169" fontId="10" fillId="5" borderId="0" xfId="0" applyNumberFormat="1" applyFont="1" applyFill="1" applyAlignment="1">
      <alignment horizontal="center"/>
    </xf>
    <xf numFmtId="169" fontId="0" fillId="4" borderId="0" xfId="0" applyNumberFormat="1" applyFill="1" applyAlignment="1">
      <alignment horizontal="center"/>
    </xf>
    <xf numFmtId="169" fontId="0" fillId="6" borderId="0" xfId="0" applyNumberFormat="1" applyFill="1" applyAlignment="1">
      <alignment horizontal="center"/>
    </xf>
    <xf numFmtId="169" fontId="3" fillId="6" borderId="0" xfId="2" applyNumberFormat="1" applyFont="1" applyFill="1" applyAlignment="1">
      <alignment horizontal="center"/>
    </xf>
    <xf numFmtId="169" fontId="2" fillId="6" borderId="0" xfId="0" applyNumberFormat="1" applyFont="1" applyFill="1" applyAlignment="1">
      <alignment horizontal="center"/>
    </xf>
    <xf numFmtId="0" fontId="24" fillId="0" borderId="1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0" xfId="2" applyFont="1" applyFill="1" applyAlignment="1">
      <alignment horizontal="center"/>
    </xf>
    <xf numFmtId="0" fontId="20" fillId="40" borderId="19" xfId="0" applyFont="1" applyFill="1" applyBorder="1" applyAlignment="1">
      <alignment horizontal="center" vertical="center"/>
    </xf>
    <xf numFmtId="0" fontId="0" fillId="41" borderId="19" xfId="0" applyFill="1" applyBorder="1" applyAlignment="1">
      <alignment horizontal="center" vertical="center"/>
    </xf>
    <xf numFmtId="0" fontId="0" fillId="41" borderId="0" xfId="0" applyFill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164" fontId="0" fillId="13" borderId="0" xfId="0" applyNumberFormat="1" applyFill="1" applyAlignment="1">
      <alignment horizontal="center"/>
    </xf>
    <xf numFmtId="0" fontId="0" fillId="17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38" borderId="0" xfId="0" applyFill="1" applyAlignment="1">
      <alignment horizontal="center"/>
    </xf>
    <xf numFmtId="168" fontId="0" fillId="13" borderId="0" xfId="0" applyNumberFormat="1" applyFill="1" applyAlignment="1">
      <alignment horizontal="center"/>
    </xf>
    <xf numFmtId="168" fontId="0" fillId="19" borderId="0" xfId="0" applyNumberFormat="1" applyFill="1" applyAlignment="1">
      <alignment horizontal="center"/>
    </xf>
    <xf numFmtId="168" fontId="0" fillId="38" borderId="0" xfId="0" applyNumberFormat="1" applyFill="1" applyAlignment="1">
      <alignment horizontal="center"/>
    </xf>
    <xf numFmtId="0" fontId="0" fillId="19" borderId="0" xfId="0" applyFill="1" applyAlignment="1">
      <alignment horizontal="center"/>
    </xf>
    <xf numFmtId="168" fontId="3" fillId="38" borderId="0" xfId="0" applyNumberFormat="1" applyFont="1" applyFill="1" applyAlignment="1">
      <alignment horizontal="center" vertical="center"/>
    </xf>
    <xf numFmtId="2" fontId="2" fillId="13" borderId="0" xfId="1" applyNumberFormat="1" applyFont="1" applyFill="1" applyAlignment="1">
      <alignment horizontal="center"/>
    </xf>
    <xf numFmtId="0" fontId="0" fillId="13" borderId="0" xfId="0" applyFill="1"/>
    <xf numFmtId="0" fontId="24" fillId="0" borderId="0" xfId="0" applyFont="1" applyAlignment="1">
      <alignment horizontal="center" vertical="center" wrapText="1"/>
    </xf>
    <xf numFmtId="169" fontId="3" fillId="19" borderId="0" xfId="2" applyNumberFormat="1" applyFont="1" applyFill="1" applyAlignment="1">
      <alignment horizontal="center"/>
    </xf>
    <xf numFmtId="164" fontId="3" fillId="4" borderId="0" xfId="2" applyNumberFormat="1" applyFont="1" applyFill="1" applyAlignment="1">
      <alignment horizontal="center"/>
    </xf>
    <xf numFmtId="164" fontId="3" fillId="13" borderId="0" xfId="2" applyNumberFormat="1" applyFont="1" applyFill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 wrapText="1"/>
    </xf>
    <xf numFmtId="0" fontId="12" fillId="5" borderId="0" xfId="0" applyFont="1" applyFill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5" borderId="44" xfId="0" applyFont="1" applyFill="1" applyBorder="1" applyAlignment="1">
      <alignment horizontal="center" vertical="center"/>
    </xf>
    <xf numFmtId="0" fontId="19" fillId="5" borderId="44" xfId="0" applyFont="1" applyFill="1" applyBorder="1" applyAlignment="1">
      <alignment horizontal="center"/>
    </xf>
    <xf numFmtId="0" fontId="19" fillId="13" borderId="44" xfId="0" applyFont="1" applyFill="1" applyBorder="1" applyAlignment="1">
      <alignment horizontal="center" vertical="center"/>
    </xf>
    <xf numFmtId="0" fontId="19" fillId="18" borderId="44" xfId="0" applyFont="1" applyFill="1" applyBorder="1" applyAlignment="1">
      <alignment horizontal="center" vertical="center"/>
    </xf>
    <xf numFmtId="0" fontId="8" fillId="18" borderId="0" xfId="0" applyFont="1" applyFill="1" applyAlignment="1">
      <alignment horizontal="center" vertical="center"/>
    </xf>
    <xf numFmtId="0" fontId="19" fillId="6" borderId="44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164" fontId="10" fillId="4" borderId="0" xfId="0" applyNumberFormat="1" applyFont="1" applyFill="1" applyAlignment="1">
      <alignment horizontal="center"/>
    </xf>
    <xf numFmtId="0" fontId="3" fillId="16" borderId="0" xfId="0" applyFont="1" applyFill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center"/>
    </xf>
    <xf numFmtId="0" fontId="8" fillId="6" borderId="44" xfId="0" applyFont="1" applyFill="1" applyBorder="1" applyAlignment="1">
      <alignment horizontal="center" vertical="center"/>
    </xf>
    <xf numFmtId="0" fontId="8" fillId="18" borderId="44" xfId="0" applyFont="1" applyFill="1" applyBorder="1" applyAlignment="1">
      <alignment horizontal="center"/>
    </xf>
    <xf numFmtId="0" fontId="8" fillId="5" borderId="44" xfId="0" applyFont="1" applyFill="1" applyBorder="1" applyAlignment="1">
      <alignment horizontal="center" vertical="center"/>
    </xf>
    <xf numFmtId="2" fontId="43" fillId="0" borderId="0" xfId="4" applyNumberFormat="1" applyFont="1" applyAlignment="1">
      <alignment horizontal="center" vertical="center"/>
    </xf>
    <xf numFmtId="0" fontId="0" fillId="5" borderId="45" xfId="0" applyFill="1" applyBorder="1" applyAlignment="1">
      <alignment horizontal="center"/>
    </xf>
    <xf numFmtId="0" fontId="0" fillId="5" borderId="46" xfId="0" applyFill="1" applyBorder="1" applyAlignment="1">
      <alignment horizontal="center" wrapText="1"/>
    </xf>
    <xf numFmtId="0" fontId="0" fillId="5" borderId="47" xfId="0" applyFill="1" applyBorder="1" applyAlignment="1">
      <alignment horizontal="center"/>
    </xf>
    <xf numFmtId="0" fontId="0" fillId="5" borderId="48" xfId="0" applyFill="1" applyBorder="1" applyAlignment="1">
      <alignment horizontal="center"/>
    </xf>
    <xf numFmtId="0" fontId="0" fillId="5" borderId="46" xfId="0" applyFill="1" applyBorder="1" applyAlignment="1">
      <alignment horizontal="center"/>
    </xf>
    <xf numFmtId="0" fontId="0" fillId="5" borderId="49" xfId="0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/>
    </xf>
    <xf numFmtId="0" fontId="0" fillId="5" borderId="50" xfId="0" applyFill="1" applyBorder="1" applyAlignment="1">
      <alignment horizontal="center"/>
    </xf>
    <xf numFmtId="0" fontId="0" fillId="5" borderId="51" xfId="0" applyFill="1" applyBorder="1" applyAlignment="1">
      <alignment horizontal="center"/>
    </xf>
    <xf numFmtId="0" fontId="0" fillId="5" borderId="52" xfId="0" applyFill="1" applyBorder="1" applyAlignment="1">
      <alignment horizontal="center"/>
    </xf>
    <xf numFmtId="0" fontId="38" fillId="0" borderId="0" xfId="4" applyFont="1" applyAlignment="1">
      <alignment horizontal="left" vertical="center"/>
    </xf>
    <xf numFmtId="2" fontId="31" fillId="36" borderId="0" xfId="4" applyNumberFormat="1" applyFill="1" applyAlignment="1">
      <alignment horizontal="center" vertical="center"/>
    </xf>
    <xf numFmtId="0" fontId="31" fillId="42" borderId="0" xfId="4" applyFill="1" applyAlignment="1">
      <alignment horizontal="center"/>
    </xf>
    <xf numFmtId="0" fontId="31" fillId="5" borderId="11" xfId="4" applyFill="1" applyBorder="1" applyAlignment="1">
      <alignment horizontal="center" vertical="center"/>
    </xf>
    <xf numFmtId="0" fontId="31" fillId="5" borderId="0" xfId="4" applyFill="1"/>
    <xf numFmtId="2" fontId="31" fillId="5" borderId="0" xfId="4" applyNumberFormat="1" applyFill="1" applyAlignment="1">
      <alignment horizontal="center"/>
    </xf>
    <xf numFmtId="0" fontId="31" fillId="5" borderId="53" xfId="4" applyFill="1" applyBorder="1" applyAlignment="1">
      <alignment horizontal="center" vertical="center"/>
    </xf>
    <xf numFmtId="0" fontId="31" fillId="5" borderId="54" xfId="4" applyFill="1" applyBorder="1" applyAlignment="1">
      <alignment horizontal="center" vertical="center"/>
    </xf>
    <xf numFmtId="0" fontId="31" fillId="5" borderId="55" xfId="4" applyFill="1" applyBorder="1" applyAlignment="1">
      <alignment horizontal="center" vertical="center"/>
    </xf>
    <xf numFmtId="0" fontId="31" fillId="5" borderId="56" xfId="4" applyFill="1" applyBorder="1" applyAlignment="1">
      <alignment horizontal="center" vertical="center"/>
    </xf>
    <xf numFmtId="0" fontId="31" fillId="5" borderId="57" xfId="4" applyFill="1" applyBorder="1" applyAlignment="1">
      <alignment horizontal="center" vertical="center"/>
    </xf>
    <xf numFmtId="0" fontId="31" fillId="5" borderId="58" xfId="4" applyFill="1" applyBorder="1" applyAlignment="1">
      <alignment horizontal="center" vertical="center"/>
    </xf>
    <xf numFmtId="0" fontId="31" fillId="6" borderId="0" xfId="4" applyFill="1" applyAlignment="1">
      <alignment horizontal="center" vertical="center"/>
    </xf>
    <xf numFmtId="0" fontId="31" fillId="6" borderId="0" xfId="4" applyFill="1"/>
    <xf numFmtId="2" fontId="31" fillId="6" borderId="0" xfId="4" applyNumberFormat="1" applyFill="1" applyAlignment="1">
      <alignment horizontal="center"/>
    </xf>
    <xf numFmtId="0" fontId="31" fillId="0" borderId="0" xfId="4" applyAlignment="1">
      <alignment wrapText="1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37" fillId="0" borderId="0" xfId="4" applyFont="1" applyAlignment="1">
      <alignment horizontal="left" vertical="center"/>
    </xf>
    <xf numFmtId="2" fontId="38" fillId="0" borderId="38" xfId="4" applyNumberFormat="1" applyFont="1" applyBorder="1" applyAlignment="1">
      <alignment horizontal="left" vertical="center"/>
    </xf>
    <xf numFmtId="2" fontId="38" fillId="0" borderId="0" xfId="4" applyNumberFormat="1" applyFont="1" applyAlignment="1">
      <alignment horizontal="left" vertical="center"/>
    </xf>
    <xf numFmtId="2" fontId="38" fillId="0" borderId="0" xfId="4" applyNumberFormat="1" applyFont="1"/>
    <xf numFmtId="0" fontId="37" fillId="43" borderId="38" xfId="4" applyFont="1" applyFill="1" applyBorder="1" applyAlignment="1">
      <alignment horizontal="left" vertical="center"/>
    </xf>
    <xf numFmtId="0" fontId="37" fillId="43" borderId="0" xfId="4" applyFont="1" applyFill="1" applyAlignment="1">
      <alignment horizontal="left" vertical="center"/>
    </xf>
    <xf numFmtId="0" fontId="38" fillId="0" borderId="0" xfId="4" applyFont="1" applyAlignment="1">
      <alignment horizontal="center" vertical="center"/>
    </xf>
    <xf numFmtId="2" fontId="39" fillId="0" borderId="0" xfId="4" applyNumberFormat="1" applyFont="1" applyAlignment="1">
      <alignment horizontal="center" vertical="center"/>
    </xf>
    <xf numFmtId="164" fontId="39" fillId="0" borderId="0" xfId="4" applyNumberFormat="1" applyFont="1" applyAlignment="1">
      <alignment horizontal="center" vertical="center"/>
    </xf>
    <xf numFmtId="0" fontId="25" fillId="23" borderId="25" xfId="0" applyFont="1" applyFill="1" applyBorder="1" applyAlignment="1">
      <alignment horizontal="center" vertical="center" wrapText="1"/>
    </xf>
    <xf numFmtId="169" fontId="2" fillId="0" borderId="0" xfId="2" applyNumberFormat="1" applyAlignment="1">
      <alignment horizontal="center"/>
    </xf>
    <xf numFmtId="169" fontId="3" fillId="0" borderId="0" xfId="2" applyNumberFormat="1" applyFont="1" applyAlignment="1">
      <alignment horizontal="center"/>
    </xf>
    <xf numFmtId="10" fontId="2" fillId="0" borderId="0" xfId="1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45" fillId="5" borderId="0" xfId="2" applyFont="1" applyFill="1" applyAlignment="1">
      <alignment horizontal="center"/>
    </xf>
    <xf numFmtId="0" fontId="28" fillId="5" borderId="0" xfId="2" applyFont="1" applyFill="1" applyAlignment="1">
      <alignment horizontal="center"/>
    </xf>
    <xf numFmtId="0" fontId="46" fillId="5" borderId="0" xfId="2" applyFont="1" applyFill="1" applyAlignment="1">
      <alignment horizontal="center"/>
    </xf>
    <xf numFmtId="168" fontId="0" fillId="0" borderId="0" xfId="0" applyNumberFormat="1" applyAlignment="1">
      <alignment horizontal="center"/>
    </xf>
    <xf numFmtId="2" fontId="31" fillId="0" borderId="0" xfId="4" applyNumberFormat="1"/>
    <xf numFmtId="0" fontId="4" fillId="0" borderId="0" xfId="2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19" fillId="7" borderId="0" xfId="0" applyFont="1" applyFill="1" applyAlignment="1">
      <alignment horizontal="center" vertical="center"/>
    </xf>
    <xf numFmtId="0" fontId="19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19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9" fillId="9" borderId="0" xfId="0" applyFont="1" applyFill="1" applyAlignment="1">
      <alignment horizontal="center" vertical="center" wrapText="1"/>
    </xf>
    <xf numFmtId="0" fontId="47" fillId="9" borderId="0" xfId="0" applyFont="1" applyFill="1" applyAlignment="1">
      <alignment horizontal="center" vertical="center" wrapText="1"/>
    </xf>
    <xf numFmtId="0" fontId="48" fillId="9" borderId="0" xfId="0" applyFont="1" applyFill="1" applyAlignment="1">
      <alignment horizontal="center" vertical="center" wrapText="1"/>
    </xf>
    <xf numFmtId="169" fontId="3" fillId="12" borderId="0" xfId="2" applyNumberFormat="1" applyFont="1" applyFill="1" applyAlignment="1">
      <alignment horizontal="center"/>
    </xf>
    <xf numFmtId="164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 vertical="center"/>
    </xf>
    <xf numFmtId="2" fontId="0" fillId="7" borderId="0" xfId="0" applyNumberFormat="1" applyFill="1" applyAlignment="1">
      <alignment horizontal="center"/>
    </xf>
    <xf numFmtId="164" fontId="0" fillId="7" borderId="0" xfId="0" applyNumberFormat="1" applyFill="1"/>
    <xf numFmtId="166" fontId="28" fillId="6" borderId="0" xfId="2" applyNumberFormat="1" applyFont="1" applyFill="1" applyAlignment="1">
      <alignment horizontal="center"/>
    </xf>
    <xf numFmtId="0" fontId="4" fillId="0" borderId="0" xfId="2" applyFont="1" applyAlignment="1">
      <alignment horizontal="right"/>
    </xf>
    <xf numFmtId="2" fontId="21" fillId="0" borderId="0" xfId="2" applyNumberFormat="1" applyFont="1" applyAlignment="1">
      <alignment horizontal="center"/>
    </xf>
    <xf numFmtId="164" fontId="49" fillId="0" borderId="0" xfId="2" applyNumberFormat="1" applyFont="1" applyAlignment="1">
      <alignment horizontal="center"/>
    </xf>
    <xf numFmtId="0" fontId="2" fillId="31" borderId="0" xfId="2" applyFill="1" applyAlignment="1">
      <alignment horizontal="center" vertical="center"/>
    </xf>
    <xf numFmtId="0" fontId="50" fillId="31" borderId="0" xfId="0" applyFont="1" applyFill="1" applyAlignment="1">
      <alignment horizontal="center" vertical="center"/>
    </xf>
    <xf numFmtId="0" fontId="2" fillId="37" borderId="0" xfId="2" applyFill="1" applyAlignment="1">
      <alignment horizontal="left"/>
    </xf>
    <xf numFmtId="0" fontId="4" fillId="31" borderId="0" xfId="2" applyFont="1" applyFill="1" applyAlignment="1">
      <alignment horizontal="center" vertical="center"/>
    </xf>
    <xf numFmtId="167" fontId="2" fillId="31" borderId="0" xfId="2" applyNumberFormat="1" applyFill="1" applyAlignment="1">
      <alignment horizontal="center"/>
    </xf>
    <xf numFmtId="0" fontId="19" fillId="44" borderId="0" xfId="0" applyFont="1" applyFill="1" applyAlignment="1">
      <alignment horizontal="center" vertical="center" wrapText="1"/>
    </xf>
    <xf numFmtId="169" fontId="19" fillId="44" borderId="0" xfId="0" applyNumberFormat="1" applyFont="1" applyFill="1" applyAlignment="1">
      <alignment horizontal="center" vertical="center"/>
    </xf>
    <xf numFmtId="169" fontId="2" fillId="4" borderId="0" xfId="2" applyNumberFormat="1" applyFill="1" applyAlignment="1">
      <alignment horizontal="center" vertical="center"/>
    </xf>
    <xf numFmtId="168" fontId="15" fillId="0" borderId="0" xfId="0" applyNumberFormat="1" applyFont="1" applyAlignment="1">
      <alignment horizontal="center"/>
    </xf>
    <xf numFmtId="168" fontId="0" fillId="45" borderId="0" xfId="0" applyNumberFormat="1" applyFill="1" applyAlignment="1">
      <alignment horizontal="center"/>
    </xf>
    <xf numFmtId="168" fontId="3" fillId="45" borderId="0" xfId="0" applyNumberFormat="1" applyFont="1" applyFill="1" applyAlignment="1">
      <alignment horizontal="center" vertical="center"/>
    </xf>
    <xf numFmtId="169" fontId="19" fillId="19" borderId="0" xfId="0" applyNumberFormat="1" applyFont="1" applyFill="1" applyAlignment="1">
      <alignment horizontal="center" vertical="center"/>
    </xf>
    <xf numFmtId="2" fontId="53" fillId="0" borderId="0" xfId="4" applyNumberFormat="1" applyFont="1" applyAlignment="1">
      <alignment horizontal="center" vertical="center"/>
    </xf>
    <xf numFmtId="0" fontId="31" fillId="8" borderId="0" xfId="4" applyFill="1" applyAlignment="1">
      <alignment horizontal="center"/>
    </xf>
    <xf numFmtId="0" fontId="31" fillId="8" borderId="0" xfId="4" applyFill="1"/>
    <xf numFmtId="0" fontId="31" fillId="46" borderId="0" xfId="4" applyFill="1" applyAlignment="1">
      <alignment horizontal="center"/>
    </xf>
    <xf numFmtId="2" fontId="31" fillId="9" borderId="0" xfId="4" applyNumberFormat="1" applyFill="1" applyAlignment="1">
      <alignment horizontal="center"/>
    </xf>
    <xf numFmtId="2" fontId="31" fillId="8" borderId="0" xfId="4" applyNumberFormat="1" applyFill="1" applyAlignment="1">
      <alignment horizontal="center"/>
    </xf>
    <xf numFmtId="0" fontId="0" fillId="0" borderId="35" xfId="0" applyBorder="1" applyAlignment="1">
      <alignment horizontal="center"/>
    </xf>
    <xf numFmtId="0" fontId="0" fillId="17" borderId="35" xfId="0" applyFill="1" applyBorder="1" applyAlignment="1">
      <alignment horizontal="center"/>
    </xf>
    <xf numFmtId="0" fontId="19" fillId="14" borderId="14" xfId="0" applyFont="1" applyFill="1" applyBorder="1" applyAlignment="1">
      <alignment horizontal="center" vertical="center" wrapText="1"/>
    </xf>
    <xf numFmtId="0" fontId="19" fillId="5" borderId="60" xfId="0" applyFont="1" applyFill="1" applyBorder="1" applyAlignment="1">
      <alignment horizontal="center" vertical="center" wrapText="1"/>
    </xf>
    <xf numFmtId="0" fontId="19" fillId="4" borderId="60" xfId="0" applyFont="1" applyFill="1" applyBorder="1" applyAlignment="1">
      <alignment horizontal="center" vertical="center" wrapText="1"/>
    </xf>
    <xf numFmtId="0" fontId="19" fillId="13" borderId="60" xfId="0" applyFont="1" applyFill="1" applyBorder="1" applyAlignment="1">
      <alignment horizontal="center" vertical="center" wrapText="1"/>
    </xf>
    <xf numFmtId="0" fontId="19" fillId="15" borderId="60" xfId="0" applyFont="1" applyFill="1" applyBorder="1" applyAlignment="1">
      <alignment horizontal="center" vertical="center" wrapText="1"/>
    </xf>
    <xf numFmtId="0" fontId="19" fillId="14" borderId="60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5" fillId="41" borderId="14" xfId="0" applyFont="1" applyFill="1" applyBorder="1" applyAlignment="1">
      <alignment horizontal="center"/>
    </xf>
    <xf numFmtId="168" fontId="0" fillId="13" borderId="35" xfId="0" applyNumberFormat="1" applyFill="1" applyBorder="1" applyAlignment="1">
      <alignment horizontal="center"/>
    </xf>
    <xf numFmtId="168" fontId="0" fillId="19" borderId="35" xfId="0" applyNumberFormat="1" applyFill="1" applyBorder="1" applyAlignment="1">
      <alignment horizontal="center"/>
    </xf>
    <xf numFmtId="168" fontId="0" fillId="38" borderId="35" xfId="0" applyNumberFormat="1" applyFill="1" applyBorder="1" applyAlignment="1">
      <alignment horizontal="center"/>
    </xf>
    <xf numFmtId="168" fontId="0" fillId="45" borderId="36" xfId="0" applyNumberFormat="1" applyFill="1" applyBorder="1" applyAlignment="1">
      <alignment horizontal="center"/>
    </xf>
    <xf numFmtId="168" fontId="0" fillId="13" borderId="36" xfId="0" applyNumberFormat="1" applyFill="1" applyBorder="1" applyAlignment="1">
      <alignment horizontal="center"/>
    </xf>
    <xf numFmtId="168" fontId="3" fillId="45" borderId="36" xfId="0" applyNumberFormat="1" applyFont="1" applyFill="1" applyBorder="1" applyAlignment="1">
      <alignment horizontal="center" vertical="center"/>
    </xf>
    <xf numFmtId="0" fontId="19" fillId="14" borderId="36" xfId="0" applyFont="1" applyFill="1" applyBorder="1" applyAlignment="1">
      <alignment horizontal="center" vertical="center"/>
    </xf>
    <xf numFmtId="168" fontId="0" fillId="13" borderId="33" xfId="0" applyNumberFormat="1" applyFill="1" applyBorder="1" applyAlignment="1">
      <alignment horizontal="center"/>
    </xf>
    <xf numFmtId="0" fontId="20" fillId="40" borderId="2" xfId="0" applyFont="1" applyFill="1" applyBorder="1" applyAlignment="1">
      <alignment horizontal="center" vertical="center"/>
    </xf>
    <xf numFmtId="0" fontId="20" fillId="40" borderId="61" xfId="0" applyFont="1" applyFill="1" applyBorder="1" applyAlignment="1">
      <alignment horizontal="center" vertical="center"/>
    </xf>
    <xf numFmtId="0" fontId="20" fillId="40" borderId="25" xfId="0" applyFont="1" applyFill="1" applyBorder="1" applyAlignment="1">
      <alignment horizontal="center" vertical="center"/>
    </xf>
    <xf numFmtId="0" fontId="3" fillId="13" borderId="14" xfId="2" applyFont="1" applyFill="1" applyBorder="1" applyAlignment="1">
      <alignment horizontal="center"/>
    </xf>
    <xf numFmtId="0" fontId="3" fillId="5" borderId="60" xfId="2" applyFont="1" applyFill="1" applyBorder="1" applyAlignment="1">
      <alignment horizontal="center"/>
    </xf>
    <xf numFmtId="0" fontId="3" fillId="4" borderId="60" xfId="2" applyFont="1" applyFill="1" applyBorder="1" applyAlignment="1">
      <alignment horizontal="center"/>
    </xf>
    <xf numFmtId="0" fontId="3" fillId="13" borderId="60" xfId="2" applyFont="1" applyFill="1" applyBorder="1" applyAlignment="1">
      <alignment horizontal="center"/>
    </xf>
    <xf numFmtId="0" fontId="3" fillId="44" borderId="15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25" fillId="23" borderId="63" xfId="0" applyFont="1" applyFill="1" applyBorder="1" applyAlignment="1">
      <alignment horizontal="center" vertical="center" textRotation="90" wrapText="1"/>
    </xf>
    <xf numFmtId="0" fontId="25" fillId="2" borderId="64" xfId="0" applyFont="1" applyFill="1" applyBorder="1" applyAlignment="1">
      <alignment horizontal="center" vertical="center" textRotation="90" wrapText="1"/>
    </xf>
    <xf numFmtId="0" fontId="24" fillId="2" borderId="64" xfId="0" applyFont="1" applyFill="1" applyBorder="1" applyAlignment="1">
      <alignment horizontal="center" vertical="center" textRotation="90" wrapText="1"/>
    </xf>
    <xf numFmtId="0" fontId="25" fillId="2" borderId="65" xfId="0" applyFont="1" applyFill="1" applyBorder="1" applyAlignment="1">
      <alignment horizontal="center" vertical="center" textRotation="90" wrapText="1"/>
    </xf>
    <xf numFmtId="0" fontId="3" fillId="13" borderId="35" xfId="2" applyFont="1" applyFill="1" applyBorder="1" applyAlignment="1">
      <alignment horizontal="center"/>
    </xf>
    <xf numFmtId="169" fontId="3" fillId="13" borderId="35" xfId="2" applyNumberFormat="1" applyFont="1" applyFill="1" applyBorder="1" applyAlignment="1">
      <alignment horizontal="center"/>
    </xf>
    <xf numFmtId="0" fontId="2" fillId="13" borderId="0" xfId="2" quotePrefix="1" applyFill="1" applyAlignment="1">
      <alignment horizontal="center"/>
    </xf>
    <xf numFmtId="0" fontId="3" fillId="13" borderId="0" xfId="2" quotePrefix="1" applyFont="1" applyFill="1" applyAlignment="1">
      <alignment horizontal="center"/>
    </xf>
    <xf numFmtId="164" fontId="3" fillId="13" borderId="35" xfId="2" applyNumberFormat="1" applyFont="1" applyFill="1" applyBorder="1" applyAlignment="1">
      <alignment horizontal="center"/>
    </xf>
    <xf numFmtId="169" fontId="19" fillId="14" borderId="36" xfId="0" applyNumberFormat="1" applyFont="1" applyFill="1" applyBorder="1" applyAlignment="1">
      <alignment horizontal="center" vertical="center"/>
    </xf>
    <xf numFmtId="169" fontId="2" fillId="13" borderId="36" xfId="2" applyNumberFormat="1" applyFill="1" applyBorder="1" applyAlignment="1">
      <alignment horizontal="center" vertical="center"/>
    </xf>
    <xf numFmtId="169" fontId="19" fillId="14" borderId="33" xfId="0" applyNumberFormat="1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 wrapText="1"/>
    </xf>
    <xf numFmtId="169" fontId="3" fillId="38" borderId="35" xfId="2" applyNumberFormat="1" applyFont="1" applyFill="1" applyBorder="1" applyAlignment="1">
      <alignment horizontal="center"/>
    </xf>
    <xf numFmtId="169" fontId="19" fillId="38" borderId="36" xfId="0" applyNumberFormat="1" applyFont="1" applyFill="1" applyBorder="1" applyAlignment="1">
      <alignment horizontal="center" vertical="center"/>
    </xf>
    <xf numFmtId="169" fontId="3" fillId="38" borderId="0" xfId="2" applyNumberFormat="1" applyFont="1" applyFill="1" applyAlignment="1">
      <alignment horizontal="center"/>
    </xf>
    <xf numFmtId="0" fontId="2" fillId="7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25" fillId="6" borderId="64" xfId="0" applyFont="1" applyFill="1" applyBorder="1" applyAlignment="1">
      <alignment horizontal="center" vertical="center" textRotation="90" wrapText="1"/>
    </xf>
    <xf numFmtId="0" fontId="24" fillId="6" borderId="64" xfId="0" applyFont="1" applyFill="1" applyBorder="1" applyAlignment="1">
      <alignment horizontal="center" vertical="center" textRotation="90" wrapText="1"/>
    </xf>
    <xf numFmtId="0" fontId="25" fillId="6" borderId="65" xfId="0" applyFont="1" applyFill="1" applyBorder="1" applyAlignment="1">
      <alignment horizontal="center" vertical="center" textRotation="90" wrapText="1"/>
    </xf>
    <xf numFmtId="0" fontId="25" fillId="23" borderId="67" xfId="0" applyFont="1" applyFill="1" applyBorder="1" applyAlignment="1">
      <alignment horizontal="center" vertical="center" wrapText="1"/>
    </xf>
    <xf numFmtId="0" fontId="25" fillId="23" borderId="68" xfId="0" applyFont="1" applyFill="1" applyBorder="1" applyAlignment="1">
      <alignment horizontal="center" vertical="center" wrapText="1"/>
    </xf>
    <xf numFmtId="0" fontId="24" fillId="23" borderId="68" xfId="0" applyFont="1" applyFill="1" applyBorder="1" applyAlignment="1">
      <alignment horizontal="center" vertical="center" wrapText="1"/>
    </xf>
    <xf numFmtId="0" fontId="25" fillId="23" borderId="69" xfId="0" applyFont="1" applyFill="1" applyBorder="1" applyAlignment="1">
      <alignment horizontal="center" vertical="center" wrapText="1"/>
    </xf>
    <xf numFmtId="0" fontId="44" fillId="0" borderId="0" xfId="4" applyFont="1"/>
    <xf numFmtId="0" fontId="37" fillId="0" borderId="0" xfId="4" applyFont="1" applyAlignment="1">
      <alignment horizontal="center" vertical="center"/>
    </xf>
    <xf numFmtId="0" fontId="31" fillId="0" borderId="37" xfId="4" applyBorder="1" applyAlignment="1">
      <alignment horizontal="center"/>
    </xf>
    <xf numFmtId="0" fontId="44" fillId="0" borderId="38" xfId="4" applyFont="1" applyBorder="1" applyAlignment="1">
      <alignment horizontal="center"/>
    </xf>
    <xf numFmtId="0" fontId="31" fillId="0" borderId="39" xfId="4" applyBorder="1" applyAlignment="1">
      <alignment horizontal="center"/>
    </xf>
    <xf numFmtId="0" fontId="44" fillId="0" borderId="34" xfId="4" applyFont="1" applyBorder="1" applyAlignment="1">
      <alignment horizontal="center" vertical="center"/>
    </xf>
    <xf numFmtId="0" fontId="44" fillId="42" borderId="0" xfId="4" applyFont="1" applyFill="1" applyAlignment="1">
      <alignment horizontal="center" vertical="center"/>
    </xf>
    <xf numFmtId="0" fontId="44" fillId="42" borderId="35" xfId="4" applyFont="1" applyFill="1" applyBorder="1" applyAlignment="1">
      <alignment horizontal="center"/>
    </xf>
    <xf numFmtId="2" fontId="31" fillId="0" borderId="0" xfId="4" applyNumberFormat="1" applyAlignment="1">
      <alignment horizontal="center" vertical="center"/>
    </xf>
    <xf numFmtId="2" fontId="31" fillId="0" borderId="35" xfId="4" applyNumberFormat="1" applyBorder="1" applyAlignment="1">
      <alignment horizontal="center"/>
    </xf>
    <xf numFmtId="0" fontId="44" fillId="0" borderId="40" xfId="4" applyFont="1" applyBorder="1" applyAlignment="1">
      <alignment horizontal="center" vertical="center"/>
    </xf>
    <xf numFmtId="2" fontId="31" fillId="0" borderId="36" xfId="4" applyNumberFormat="1" applyBorder="1" applyAlignment="1">
      <alignment horizontal="center" vertical="center"/>
    </xf>
    <xf numFmtId="0" fontId="31" fillId="0" borderId="36" xfId="4" applyBorder="1" applyAlignment="1">
      <alignment horizontal="center"/>
    </xf>
    <xf numFmtId="2" fontId="31" fillId="0" borderId="33" xfId="4" applyNumberForma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/>
    </xf>
    <xf numFmtId="0" fontId="56" fillId="0" borderId="0" xfId="0" applyFont="1" applyAlignment="1">
      <alignment horizontal="center"/>
    </xf>
    <xf numFmtId="0" fontId="0" fillId="47" borderId="0" xfId="0" applyFill="1" applyAlignment="1">
      <alignment horizontal="center"/>
    </xf>
    <xf numFmtId="0" fontId="2" fillId="47" borderId="0" xfId="2" applyFill="1" applyAlignment="1">
      <alignment horizontal="center"/>
    </xf>
    <xf numFmtId="0" fontId="0" fillId="47" borderId="35" xfId="0" applyFill="1" applyBorder="1" applyAlignment="1">
      <alignment horizontal="center"/>
    </xf>
    <xf numFmtId="168" fontId="0" fillId="47" borderId="0" xfId="0" applyNumberFormat="1" applyFill="1" applyAlignment="1">
      <alignment horizontal="center"/>
    </xf>
    <xf numFmtId="0" fontId="20" fillId="47" borderId="19" xfId="0" applyFont="1" applyFill="1" applyBorder="1" applyAlignment="1">
      <alignment horizontal="center" vertical="center"/>
    </xf>
    <xf numFmtId="0" fontId="25" fillId="10" borderId="64" xfId="0" applyFont="1" applyFill="1" applyBorder="1" applyAlignment="1">
      <alignment horizontal="center" vertical="center" textRotation="90" wrapText="1"/>
    </xf>
    <xf numFmtId="0" fontId="19" fillId="48" borderId="1" xfId="0" applyFont="1" applyFill="1" applyBorder="1" applyAlignment="1">
      <alignment horizontal="center"/>
    </xf>
    <xf numFmtId="0" fontId="25" fillId="11" borderId="16" xfId="0" applyFont="1" applyFill="1" applyBorder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0" fontId="3" fillId="11" borderId="0" xfId="2" applyFont="1" applyFill="1" applyAlignment="1">
      <alignment horizontal="center"/>
    </xf>
    <xf numFmtId="0" fontId="3" fillId="11" borderId="0" xfId="2" quotePrefix="1" applyFont="1" applyFill="1" applyAlignment="1">
      <alignment horizontal="center"/>
    </xf>
    <xf numFmtId="169" fontId="3" fillId="11" borderId="0" xfId="2" applyNumberFormat="1" applyFont="1" applyFill="1" applyAlignment="1">
      <alignment horizontal="center"/>
    </xf>
    <xf numFmtId="169" fontId="19" fillId="11" borderId="0" xfId="0" applyNumberFormat="1" applyFont="1" applyFill="1" applyAlignment="1">
      <alignment horizontal="center" vertical="center"/>
    </xf>
    <xf numFmtId="169" fontId="2" fillId="11" borderId="0" xfId="2" applyNumberFormat="1" applyFill="1" applyAlignment="1">
      <alignment horizontal="center"/>
    </xf>
    <xf numFmtId="0" fontId="2" fillId="11" borderId="0" xfId="2" applyFill="1" applyAlignment="1">
      <alignment horizontal="center"/>
    </xf>
    <xf numFmtId="2" fontId="21" fillId="11" borderId="0" xfId="2" applyNumberFormat="1" applyFont="1" applyFill="1" applyAlignment="1">
      <alignment horizontal="center"/>
    </xf>
    <xf numFmtId="164" fontId="49" fillId="11" borderId="0" xfId="2" applyNumberFormat="1" applyFont="1" applyFill="1" applyAlignment="1">
      <alignment horizontal="center"/>
    </xf>
    <xf numFmtId="0" fontId="2" fillId="49" borderId="0" xfId="2" applyFill="1" applyAlignment="1">
      <alignment horizontal="center"/>
    </xf>
    <xf numFmtId="0" fontId="57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42" borderId="0" xfId="0" applyFill="1" applyAlignment="1">
      <alignment horizontal="center"/>
    </xf>
    <xf numFmtId="164" fontId="4" fillId="13" borderId="0" xfId="2" applyNumberFormat="1" applyFont="1" applyFill="1" applyAlignment="1">
      <alignment horizontal="center"/>
    </xf>
    <xf numFmtId="164" fontId="4" fillId="5" borderId="0" xfId="2" applyNumberFormat="1" applyFont="1" applyFill="1" applyAlignment="1">
      <alignment horizontal="center"/>
    </xf>
    <xf numFmtId="164" fontId="58" fillId="5" borderId="0" xfId="2" applyNumberFormat="1" applyFont="1" applyFill="1" applyAlignment="1">
      <alignment horizontal="center"/>
    </xf>
    <xf numFmtId="164" fontId="59" fillId="5" borderId="0" xfId="2" applyNumberFormat="1" applyFont="1" applyFill="1" applyAlignment="1">
      <alignment horizontal="center"/>
    </xf>
    <xf numFmtId="164" fontId="59" fillId="4" borderId="0" xfId="2" applyNumberFormat="1" applyFont="1" applyFill="1" applyAlignment="1">
      <alignment horizontal="center"/>
    </xf>
    <xf numFmtId="164" fontId="58" fillId="4" borderId="0" xfId="2" applyNumberFormat="1" applyFont="1" applyFill="1" applyAlignment="1">
      <alignment horizontal="center"/>
    </xf>
    <xf numFmtId="164" fontId="58" fillId="13" borderId="0" xfId="2" applyNumberFormat="1" applyFont="1" applyFill="1" applyAlignment="1">
      <alignment horizontal="center"/>
    </xf>
    <xf numFmtId="164" fontId="59" fillId="13" borderId="0" xfId="2" applyNumberFormat="1" applyFont="1" applyFill="1" applyAlignment="1">
      <alignment horizontal="center"/>
    </xf>
    <xf numFmtId="166" fontId="19" fillId="6" borderId="0" xfId="2" applyNumberFormat="1" applyFont="1" applyFill="1" applyAlignment="1">
      <alignment horizontal="center"/>
    </xf>
    <xf numFmtId="0" fontId="37" fillId="11" borderId="0" xfId="4" applyFont="1" applyFill="1" applyAlignment="1">
      <alignment horizontal="left" vertical="center"/>
    </xf>
    <xf numFmtId="0" fontId="37" fillId="11" borderId="0" xfId="4" applyFont="1" applyFill="1" applyAlignment="1">
      <alignment horizontal="center" vertical="center"/>
    </xf>
    <xf numFmtId="2" fontId="31" fillId="5" borderId="0" xfId="4" applyNumberFormat="1" applyFill="1" applyAlignment="1">
      <alignment horizontal="center" vertical="center"/>
    </xf>
    <xf numFmtId="2" fontId="31" fillId="6" borderId="0" xfId="4" applyNumberFormat="1" applyFill="1" applyAlignment="1">
      <alignment horizontal="center" vertical="center"/>
    </xf>
    <xf numFmtId="2" fontId="31" fillId="6" borderId="0" xfId="0" applyNumberFormat="1" applyFont="1" applyFill="1" applyAlignment="1">
      <alignment horizontal="center" vertical="center"/>
    </xf>
    <xf numFmtId="0" fontId="2" fillId="21" borderId="0" xfId="2" applyFill="1" applyAlignment="1">
      <alignment horizontal="left"/>
    </xf>
    <xf numFmtId="0" fontId="2" fillId="4" borderId="0" xfId="2" applyFill="1" applyAlignment="1">
      <alignment horizontal="left"/>
    </xf>
    <xf numFmtId="166" fontId="2" fillId="21" borderId="0" xfId="2" applyNumberFormat="1" applyFill="1" applyAlignment="1">
      <alignment horizontal="center"/>
    </xf>
    <xf numFmtId="166" fontId="28" fillId="21" borderId="0" xfId="2" applyNumberFormat="1" applyFont="1" applyFill="1" applyAlignment="1">
      <alignment horizontal="center"/>
    </xf>
    <xf numFmtId="0" fontId="2" fillId="21" borderId="0" xfId="2" applyFill="1" applyAlignment="1">
      <alignment horizontal="center"/>
    </xf>
    <xf numFmtId="0" fontId="2" fillId="21" borderId="0" xfId="2" applyFill="1"/>
    <xf numFmtId="166" fontId="28" fillId="0" borderId="0" xfId="2" applyNumberFormat="1" applyFont="1" applyAlignment="1">
      <alignment horizontal="center"/>
    </xf>
    <xf numFmtId="166" fontId="19" fillId="21" borderId="0" xfId="2" applyNumberFormat="1" applyFont="1" applyFill="1" applyAlignment="1">
      <alignment horizontal="center"/>
    </xf>
    <xf numFmtId="166" fontId="3" fillId="21" borderId="0" xfId="2" applyNumberFormat="1" applyFont="1" applyFill="1" applyAlignment="1">
      <alignment horizontal="center"/>
    </xf>
    <xf numFmtId="166" fontId="32" fillId="21" borderId="0" xfId="2" applyNumberFormat="1" applyFont="1" applyFill="1" applyAlignment="1">
      <alignment horizontal="center"/>
    </xf>
    <xf numFmtId="0" fontId="2" fillId="7" borderId="0" xfId="2" applyFill="1" applyAlignment="1">
      <alignment horizontal="left"/>
    </xf>
    <xf numFmtId="0" fontId="2" fillId="8" borderId="0" xfId="2" applyFill="1" applyAlignment="1">
      <alignment horizontal="left"/>
    </xf>
    <xf numFmtId="0" fontId="19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4" fillId="31" borderId="0" xfId="2" applyFont="1" applyFill="1" applyAlignment="1">
      <alignment horizontal="center"/>
    </xf>
    <xf numFmtId="0" fontId="20" fillId="31" borderId="0" xfId="2" applyFont="1" applyFill="1" applyAlignment="1">
      <alignment horizontal="center"/>
    </xf>
    <xf numFmtId="0" fontId="4" fillId="31" borderId="0" xfId="2" applyFont="1" applyFill="1"/>
    <xf numFmtId="166" fontId="2" fillId="4" borderId="0" xfId="2" applyNumberFormat="1" applyFill="1" applyAlignment="1">
      <alignment horizontal="center"/>
    </xf>
    <xf numFmtId="166" fontId="28" fillId="4" borderId="0" xfId="2" applyNumberFormat="1" applyFont="1" applyFill="1" applyAlignment="1">
      <alignment horizontal="center"/>
    </xf>
    <xf numFmtId="166" fontId="3" fillId="4" borderId="0" xfId="2" applyNumberFormat="1" applyFont="1" applyFill="1" applyAlignment="1">
      <alignment horizontal="center"/>
    </xf>
    <xf numFmtId="0" fontId="2" fillId="4" borderId="0" xfId="2" applyFill="1"/>
    <xf numFmtId="166" fontId="3" fillId="6" borderId="0" xfId="2" applyNumberFormat="1" applyFont="1" applyFill="1" applyAlignment="1">
      <alignment horizontal="center"/>
    </xf>
    <xf numFmtId="166" fontId="32" fillId="6" borderId="0" xfId="2" applyNumberFormat="1" applyFont="1" applyFill="1" applyAlignment="1">
      <alignment horizontal="center"/>
    </xf>
    <xf numFmtId="9" fontId="4" fillId="3" borderId="0" xfId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7" fontId="10" fillId="5" borderId="0" xfId="0" applyNumberFormat="1" applyFont="1" applyFill="1" applyAlignment="1">
      <alignment horizontal="center"/>
    </xf>
    <xf numFmtId="167" fontId="2" fillId="5" borderId="0" xfId="2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167" fontId="19" fillId="5" borderId="0" xfId="0" applyNumberFormat="1" applyFont="1" applyFill="1" applyAlignment="1">
      <alignment horizontal="center"/>
    </xf>
    <xf numFmtId="167" fontId="28" fillId="5" borderId="0" xfId="0" applyNumberFormat="1" applyFont="1" applyFill="1" applyAlignment="1">
      <alignment horizontal="center"/>
    </xf>
    <xf numFmtId="167" fontId="3" fillId="5" borderId="0" xfId="2" applyNumberFormat="1" applyFont="1" applyFill="1" applyAlignment="1">
      <alignment horizontal="center"/>
    </xf>
    <xf numFmtId="167" fontId="32" fillId="5" borderId="0" xfId="2" applyNumberFormat="1" applyFont="1" applyFill="1" applyAlignment="1">
      <alignment horizontal="center"/>
    </xf>
    <xf numFmtId="167" fontId="0" fillId="4" borderId="0" xfId="0" applyNumberFormat="1" applyFill="1" applyAlignment="1">
      <alignment horizontal="center"/>
    </xf>
    <xf numFmtId="167" fontId="26" fillId="4" borderId="0" xfId="0" applyNumberFormat="1" applyFont="1" applyFill="1" applyAlignment="1">
      <alignment horizontal="center"/>
    </xf>
    <xf numFmtId="167" fontId="19" fillId="6" borderId="0" xfId="0" applyNumberFormat="1" applyFont="1" applyFill="1" applyAlignment="1">
      <alignment horizontal="center"/>
    </xf>
    <xf numFmtId="167" fontId="28" fillId="6" borderId="0" xfId="0" applyNumberFormat="1" applyFont="1" applyFill="1" applyAlignment="1">
      <alignment horizontal="center"/>
    </xf>
    <xf numFmtId="167" fontId="2" fillId="5" borderId="0" xfId="0" applyNumberFormat="1" applyFont="1" applyFill="1" applyAlignment="1">
      <alignment horizontal="center"/>
    </xf>
    <xf numFmtId="164" fontId="4" fillId="11" borderId="1" xfId="0" applyNumberFormat="1" applyFont="1" applyFill="1" applyBorder="1" applyAlignment="1">
      <alignment horizontal="center" vertical="center"/>
    </xf>
    <xf numFmtId="0" fontId="38" fillId="7" borderId="0" xfId="4" applyFont="1" applyFill="1" applyAlignment="1">
      <alignment horizontal="left" vertical="center"/>
    </xf>
    <xf numFmtId="0" fontId="38" fillId="7" borderId="0" xfId="4" applyFont="1" applyFill="1" applyAlignment="1">
      <alignment horizontal="center" vertical="center"/>
    </xf>
    <xf numFmtId="2" fontId="38" fillId="7" borderId="0" xfId="4" applyNumberFormat="1" applyFont="1" applyFill="1" applyAlignment="1">
      <alignment horizontal="left" vertical="center"/>
    </xf>
    <xf numFmtId="2" fontId="38" fillId="7" borderId="0" xfId="4" applyNumberFormat="1" applyFont="1" applyFill="1" applyAlignment="1">
      <alignment horizontal="center" vertical="center"/>
    </xf>
    <xf numFmtId="3" fontId="31" fillId="7" borderId="0" xfId="4" applyNumberFormat="1" applyFill="1"/>
    <xf numFmtId="164" fontId="38" fillId="7" borderId="0" xfId="4" applyNumberFormat="1" applyFont="1" applyFill="1" applyAlignment="1">
      <alignment horizontal="center" vertical="center"/>
    </xf>
    <xf numFmtId="2" fontId="53" fillId="7" borderId="0" xfId="4" applyNumberFormat="1" applyFont="1" applyFill="1" applyAlignment="1">
      <alignment horizontal="center" vertical="center"/>
    </xf>
    <xf numFmtId="2" fontId="31" fillId="7" borderId="0" xfId="4" applyNumberFormat="1" applyFill="1" applyAlignment="1">
      <alignment horizontal="center"/>
    </xf>
    <xf numFmtId="0" fontId="31" fillId="7" borderId="0" xfId="4" applyFill="1"/>
    <xf numFmtId="0" fontId="38" fillId="50" borderId="0" xfId="4" applyFont="1" applyFill="1" applyAlignment="1">
      <alignment horizontal="left" vertical="center"/>
    </xf>
    <xf numFmtId="0" fontId="38" fillId="50" borderId="0" xfId="4" applyFont="1" applyFill="1" applyAlignment="1">
      <alignment horizontal="center" vertical="center"/>
    </xf>
    <xf numFmtId="2" fontId="38" fillId="50" borderId="0" xfId="4" applyNumberFormat="1" applyFont="1" applyFill="1" applyAlignment="1">
      <alignment horizontal="left" vertical="center"/>
    </xf>
    <xf numFmtId="2" fontId="38" fillId="50" borderId="0" xfId="4" applyNumberFormat="1" applyFont="1" applyFill="1" applyAlignment="1">
      <alignment horizontal="center" vertical="center"/>
    </xf>
    <xf numFmtId="3" fontId="31" fillId="50" borderId="0" xfId="4" applyNumberFormat="1" applyFill="1"/>
    <xf numFmtId="164" fontId="38" fillId="50" borderId="0" xfId="4" applyNumberFormat="1" applyFont="1" applyFill="1" applyAlignment="1">
      <alignment horizontal="center" vertical="center"/>
    </xf>
    <xf numFmtId="2" fontId="53" fillId="50" borderId="0" xfId="4" applyNumberFormat="1" applyFont="1" applyFill="1" applyAlignment="1">
      <alignment horizontal="center" vertical="center"/>
    </xf>
    <xf numFmtId="2" fontId="31" fillId="50" borderId="0" xfId="4" applyNumberFormat="1" applyFill="1" applyAlignment="1">
      <alignment horizontal="center"/>
    </xf>
    <xf numFmtId="0" fontId="31" fillId="50" borderId="0" xfId="4" applyFill="1"/>
    <xf numFmtId="2" fontId="54" fillId="50" borderId="0" xfId="4" applyNumberFormat="1" applyFont="1" applyFill="1" applyAlignment="1">
      <alignment horizontal="center" vertical="center"/>
    </xf>
    <xf numFmtId="0" fontId="38" fillId="8" borderId="0" xfId="4" applyFont="1" applyFill="1" applyAlignment="1">
      <alignment horizontal="left" vertical="center"/>
    </xf>
    <xf numFmtId="0" fontId="38" fillId="8" borderId="0" xfId="4" applyFont="1" applyFill="1" applyAlignment="1">
      <alignment horizontal="center" vertical="center"/>
    </xf>
    <xf numFmtId="2" fontId="38" fillId="8" borderId="0" xfId="4" applyNumberFormat="1" applyFont="1" applyFill="1" applyAlignment="1">
      <alignment horizontal="left" vertical="center"/>
    </xf>
    <xf numFmtId="2" fontId="38" fillId="8" borderId="0" xfId="4" applyNumberFormat="1" applyFont="1" applyFill="1" applyAlignment="1">
      <alignment horizontal="center" vertical="center"/>
    </xf>
    <xf numFmtId="3" fontId="31" fillId="8" borderId="0" xfId="4" applyNumberFormat="1" applyFill="1"/>
    <xf numFmtId="164" fontId="38" fillId="8" borderId="0" xfId="4" applyNumberFormat="1" applyFont="1" applyFill="1" applyAlignment="1">
      <alignment horizontal="center" vertical="center"/>
    </xf>
    <xf numFmtId="2" fontId="53" fillId="8" borderId="0" xfId="4" applyNumberFormat="1" applyFont="1" applyFill="1" applyAlignment="1">
      <alignment horizontal="center" vertical="center"/>
    </xf>
    <xf numFmtId="0" fontId="38" fillId="51" borderId="0" xfId="4" applyFont="1" applyFill="1" applyAlignment="1">
      <alignment horizontal="left" vertical="center"/>
    </xf>
    <xf numFmtId="0" fontId="38" fillId="51" borderId="0" xfId="4" applyFont="1" applyFill="1" applyAlignment="1">
      <alignment horizontal="center" vertical="center"/>
    </xf>
    <xf numFmtId="2" fontId="38" fillId="51" borderId="0" xfId="4" applyNumberFormat="1" applyFont="1" applyFill="1" applyAlignment="1">
      <alignment horizontal="left" vertical="center"/>
    </xf>
    <xf numFmtId="2" fontId="38" fillId="51" borderId="0" xfId="4" applyNumberFormat="1" applyFont="1" applyFill="1" applyAlignment="1">
      <alignment horizontal="center" vertical="center"/>
    </xf>
    <xf numFmtId="3" fontId="31" fillId="51" borderId="0" xfId="4" applyNumberFormat="1" applyFill="1"/>
    <xf numFmtId="164" fontId="38" fillId="51" borderId="0" xfId="4" applyNumberFormat="1" applyFont="1" applyFill="1" applyAlignment="1">
      <alignment horizontal="center" vertical="center"/>
    </xf>
    <xf numFmtId="2" fontId="53" fillId="51" borderId="0" xfId="4" applyNumberFormat="1" applyFont="1" applyFill="1" applyAlignment="1">
      <alignment horizontal="center" vertical="center"/>
    </xf>
    <xf numFmtId="2" fontId="31" fillId="51" borderId="0" xfId="4" applyNumberFormat="1" applyFill="1" applyAlignment="1">
      <alignment horizontal="center"/>
    </xf>
    <xf numFmtId="0" fontId="31" fillId="51" borderId="0" xfId="4" applyFill="1"/>
    <xf numFmtId="0" fontId="38" fillId="52" borderId="0" xfId="4" applyFont="1" applyFill="1" applyAlignment="1">
      <alignment horizontal="left" vertical="center"/>
    </xf>
    <xf numFmtId="0" fontId="38" fillId="52" borderId="0" xfId="4" applyFont="1" applyFill="1" applyAlignment="1">
      <alignment horizontal="center" vertical="center"/>
    </xf>
    <xf numFmtId="2" fontId="38" fillId="52" borderId="0" xfId="4" applyNumberFormat="1" applyFont="1" applyFill="1" applyAlignment="1">
      <alignment horizontal="left" vertical="center"/>
    </xf>
    <xf numFmtId="2" fontId="38" fillId="52" borderId="0" xfId="4" applyNumberFormat="1" applyFont="1" applyFill="1" applyAlignment="1">
      <alignment horizontal="center" vertical="center"/>
    </xf>
    <xf numFmtId="3" fontId="31" fillId="52" borderId="0" xfId="4" applyNumberFormat="1" applyFill="1"/>
    <xf numFmtId="164" fontId="38" fillId="52" borderId="0" xfId="4" applyNumberFormat="1" applyFont="1" applyFill="1" applyAlignment="1">
      <alignment horizontal="center" vertical="center"/>
    </xf>
    <xf numFmtId="2" fontId="53" fillId="52" borderId="0" xfId="4" applyNumberFormat="1" applyFont="1" applyFill="1" applyAlignment="1">
      <alignment horizontal="center" vertical="center"/>
    </xf>
    <xf numFmtId="2" fontId="31" fillId="52" borderId="0" xfId="4" applyNumberFormat="1" applyFill="1" applyAlignment="1">
      <alignment horizontal="center"/>
    </xf>
    <xf numFmtId="0" fontId="31" fillId="52" borderId="0" xfId="4" applyFill="1"/>
    <xf numFmtId="0" fontId="52" fillId="8" borderId="59" xfId="0" applyFont="1" applyFill="1" applyBorder="1" applyAlignment="1">
      <alignment horizontal="left"/>
    </xf>
    <xf numFmtId="0" fontId="38" fillId="8" borderId="59" xfId="0" applyFont="1" applyFill="1" applyBorder="1" applyAlignment="1">
      <alignment horizontal="left" vertical="center"/>
    </xf>
    <xf numFmtId="1" fontId="38" fillId="8" borderId="59" xfId="0" applyNumberFormat="1" applyFont="1" applyFill="1" applyBorder="1" applyAlignment="1">
      <alignment horizontal="left" vertical="center"/>
    </xf>
    <xf numFmtId="2" fontId="38" fillId="8" borderId="59" xfId="0" applyNumberFormat="1" applyFont="1" applyFill="1" applyBorder="1" applyAlignment="1">
      <alignment horizontal="left" vertical="center"/>
    </xf>
    <xf numFmtId="2" fontId="38" fillId="8" borderId="59" xfId="0" applyNumberFormat="1" applyFont="1" applyFill="1" applyBorder="1" applyAlignment="1">
      <alignment horizontal="center" vertical="center"/>
    </xf>
    <xf numFmtId="2" fontId="38" fillId="8" borderId="59" xfId="4" applyNumberFormat="1" applyFont="1" applyFill="1" applyBorder="1" applyAlignment="1">
      <alignment horizontal="center" vertical="center"/>
    </xf>
    <xf numFmtId="3" fontId="52" fillId="8" borderId="59" xfId="0" applyNumberFormat="1" applyFont="1" applyFill="1" applyBorder="1"/>
    <xf numFmtId="164" fontId="38" fillId="8" borderId="59" xfId="0" applyNumberFormat="1" applyFont="1" applyFill="1" applyBorder="1" applyAlignment="1">
      <alignment horizontal="center" vertical="center"/>
    </xf>
    <xf numFmtId="164" fontId="38" fillId="8" borderId="59" xfId="4" applyNumberFormat="1" applyFont="1" applyFill="1" applyBorder="1" applyAlignment="1">
      <alignment horizontal="center" vertical="center"/>
    </xf>
    <xf numFmtId="2" fontId="53" fillId="8" borderId="59" xfId="4" applyNumberFormat="1" applyFont="1" applyFill="1" applyBorder="1" applyAlignment="1">
      <alignment horizontal="center" vertical="center"/>
    </xf>
    <xf numFmtId="2" fontId="31" fillId="8" borderId="59" xfId="4" applyNumberFormat="1" applyFill="1" applyBorder="1" applyAlignment="1">
      <alignment horizontal="center"/>
    </xf>
    <xf numFmtId="0" fontId="51" fillId="8" borderId="0" xfId="4" applyFont="1" applyFill="1"/>
    <xf numFmtId="0" fontId="52" fillId="7" borderId="0" xfId="0" applyFont="1" applyFill="1" applyAlignment="1">
      <alignment horizontal="left"/>
    </xf>
    <xf numFmtId="0" fontId="38" fillId="7" borderId="0" xfId="0" applyFont="1" applyFill="1" applyAlignment="1">
      <alignment horizontal="left" vertical="center"/>
    </xf>
    <xf numFmtId="1" fontId="38" fillId="7" borderId="0" xfId="0" applyNumberFormat="1" applyFont="1" applyFill="1" applyAlignment="1">
      <alignment horizontal="left" vertical="center"/>
    </xf>
    <xf numFmtId="2" fontId="38" fillId="7" borderId="0" xfId="0" applyNumberFormat="1" applyFont="1" applyFill="1" applyAlignment="1">
      <alignment horizontal="left" vertical="center"/>
    </xf>
    <xf numFmtId="2" fontId="38" fillId="7" borderId="0" xfId="0" applyNumberFormat="1" applyFont="1" applyFill="1" applyAlignment="1">
      <alignment horizontal="center" vertical="center"/>
    </xf>
    <xf numFmtId="3" fontId="52" fillId="7" borderId="0" xfId="0" applyNumberFormat="1" applyFont="1" applyFill="1"/>
    <xf numFmtId="164" fontId="38" fillId="7" borderId="0" xfId="0" applyNumberFormat="1" applyFont="1" applyFill="1" applyAlignment="1">
      <alignment horizontal="center" vertical="center"/>
    </xf>
    <xf numFmtId="0" fontId="51" fillId="7" borderId="0" xfId="4" applyFont="1" applyFill="1"/>
    <xf numFmtId="2" fontId="38" fillId="9" borderId="0" xfId="4" applyNumberFormat="1" applyFont="1" applyFill="1" applyAlignment="1">
      <alignment horizontal="left" vertical="center"/>
    </xf>
    <xf numFmtId="2" fontId="38" fillId="9" borderId="0" xfId="4" applyNumberFormat="1" applyFont="1" applyFill="1" applyAlignment="1">
      <alignment horizontal="center" vertical="center"/>
    </xf>
    <xf numFmtId="0" fontId="19" fillId="14" borderId="70" xfId="0" applyFont="1" applyFill="1" applyBorder="1" applyAlignment="1">
      <alignment horizontal="center" vertical="center" wrapText="1"/>
    </xf>
    <xf numFmtId="168" fontId="0" fillId="13" borderId="71" xfId="0" applyNumberFormat="1" applyFill="1" applyBorder="1" applyAlignment="1">
      <alignment horizontal="center"/>
    </xf>
    <xf numFmtId="0" fontId="19" fillId="14" borderId="72" xfId="0" applyFont="1" applyFill="1" applyBorder="1" applyAlignment="1">
      <alignment horizontal="center" vertical="center" wrapText="1"/>
    </xf>
    <xf numFmtId="168" fontId="0" fillId="13" borderId="20" xfId="0" applyNumberFormat="1" applyFill="1" applyBorder="1" applyAlignment="1">
      <alignment horizontal="center"/>
    </xf>
    <xf numFmtId="168" fontId="3" fillId="13" borderId="20" xfId="0" applyNumberFormat="1" applyFont="1" applyFill="1" applyBorder="1" applyAlignment="1">
      <alignment horizontal="center" vertical="center"/>
    </xf>
    <xf numFmtId="0" fontId="19" fillId="39" borderId="20" xfId="0" applyFont="1" applyFill="1" applyBorder="1" applyAlignment="1">
      <alignment horizontal="center" vertical="center"/>
    </xf>
    <xf numFmtId="168" fontId="0" fillId="13" borderId="73" xfId="0" applyNumberFormat="1" applyFill="1" applyBorder="1" applyAlignment="1">
      <alignment horizontal="center"/>
    </xf>
    <xf numFmtId="0" fontId="15" fillId="41" borderId="12" xfId="0" applyFont="1" applyFill="1" applyBorder="1" applyAlignment="1">
      <alignment horizontal="center"/>
    </xf>
    <xf numFmtId="1" fontId="0" fillId="7" borderId="0" xfId="0" applyNumberForma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164" fontId="15" fillId="6" borderId="0" xfId="0" applyNumberFormat="1" applyFont="1" applyFill="1" applyAlignment="1">
      <alignment horizontal="center"/>
    </xf>
    <xf numFmtId="164" fontId="15" fillId="5" borderId="0" xfId="0" applyNumberFormat="1" applyFont="1" applyFill="1" applyAlignment="1">
      <alignment horizontal="center"/>
    </xf>
    <xf numFmtId="164" fontId="15" fillId="4" borderId="0" xfId="0" applyNumberFormat="1" applyFont="1" applyFill="1" applyAlignment="1">
      <alignment horizontal="center"/>
    </xf>
    <xf numFmtId="164" fontId="15" fillId="7" borderId="0" xfId="0" applyNumberFormat="1" applyFont="1" applyFill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9" borderId="0" xfId="0" applyFont="1" applyFill="1" applyAlignment="1">
      <alignment horizontal="center"/>
    </xf>
    <xf numFmtId="0" fontId="15" fillId="8" borderId="0" xfId="0" applyFont="1" applyFill="1" applyAlignment="1">
      <alignment horizontal="center"/>
    </xf>
    <xf numFmtId="0" fontId="15" fillId="41" borderId="0" xfId="0" applyFont="1" applyFill="1" applyAlignment="1">
      <alignment horizontal="center" vertical="center"/>
    </xf>
    <xf numFmtId="168" fontId="0" fillId="0" borderId="26" xfId="0" applyNumberFormat="1" applyBorder="1" applyAlignment="1">
      <alignment horizontal="center"/>
    </xf>
    <xf numFmtId="0" fontId="2" fillId="0" borderId="0" xfId="2" applyAlignment="1">
      <alignment horizontal="center" wrapText="1"/>
    </xf>
    <xf numFmtId="0" fontId="2" fillId="0" borderId="0" xfId="2" applyAlignment="1">
      <alignment horizontal="center" vertical="center" wrapText="1"/>
    </xf>
    <xf numFmtId="0" fontId="28" fillId="4" borderId="0" xfId="2" applyFont="1" applyFill="1" applyAlignment="1">
      <alignment horizontal="center"/>
    </xf>
    <xf numFmtId="0" fontId="28" fillId="13" borderId="0" xfId="2" applyFont="1" applyFill="1" applyAlignment="1">
      <alignment horizontal="center"/>
    </xf>
    <xf numFmtId="169" fontId="19" fillId="0" borderId="0" xfId="0" applyNumberFormat="1" applyFont="1" applyAlignment="1">
      <alignment horizontal="center" vertical="center"/>
    </xf>
    <xf numFmtId="169" fontId="2" fillId="0" borderId="0" xfId="2" applyNumberFormat="1" applyAlignment="1">
      <alignment horizontal="center" vertical="center"/>
    </xf>
    <xf numFmtId="164" fontId="3" fillId="0" borderId="0" xfId="2" applyNumberFormat="1" applyFont="1" applyAlignment="1">
      <alignment horizontal="center"/>
    </xf>
    <xf numFmtId="164" fontId="21" fillId="5" borderId="0" xfId="0" applyNumberFormat="1" applyFont="1" applyFill="1" applyAlignment="1">
      <alignment horizontal="center"/>
    </xf>
    <xf numFmtId="170" fontId="21" fillId="5" borderId="0" xfId="0" applyNumberFormat="1" applyFont="1" applyFill="1" applyAlignment="1">
      <alignment horizontal="center"/>
    </xf>
    <xf numFmtId="170" fontId="21" fillId="4" borderId="0" xfId="0" applyNumberFormat="1" applyFont="1" applyFill="1" applyAlignment="1">
      <alignment horizontal="center"/>
    </xf>
    <xf numFmtId="170" fontId="21" fillId="6" borderId="0" xfId="0" applyNumberFormat="1" applyFont="1" applyFill="1" applyAlignment="1">
      <alignment horizontal="center"/>
    </xf>
    <xf numFmtId="0" fontId="40" fillId="0" borderId="2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22" borderId="0" xfId="0" applyFont="1" applyFill="1"/>
    <xf numFmtId="0" fontId="40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1" fillId="0" borderId="23" xfId="0" applyFont="1" applyBorder="1" applyAlignment="1">
      <alignment horizontal="center" wrapText="1"/>
    </xf>
    <xf numFmtId="0" fontId="23" fillId="9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/>
    </xf>
    <xf numFmtId="1" fontId="21" fillId="0" borderId="34" xfId="0" applyNumberFormat="1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0" xfId="0" quotePrefix="1" applyFont="1"/>
    <xf numFmtId="0" fontId="21" fillId="5" borderId="0" xfId="0" applyFont="1" applyFill="1" applyAlignment="1">
      <alignment horizontal="center"/>
    </xf>
    <xf numFmtId="0" fontId="21" fillId="0" borderId="34" xfId="0" applyFont="1" applyBorder="1" applyAlignment="1">
      <alignment horizontal="center"/>
    </xf>
    <xf numFmtId="0" fontId="22" fillId="5" borderId="0" xfId="0" applyFont="1" applyFill="1" applyAlignment="1">
      <alignment horizontal="center"/>
    </xf>
    <xf numFmtId="0" fontId="23" fillId="7" borderId="0" xfId="0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/>
    </xf>
    <xf numFmtId="164" fontId="22" fillId="4" borderId="0" xfId="0" applyNumberFormat="1" applyFont="1" applyFill="1" applyAlignment="1">
      <alignment horizontal="center"/>
    </xf>
    <xf numFmtId="164" fontId="21" fillId="4" borderId="0" xfId="0" applyNumberFormat="1" applyFont="1" applyFill="1" applyAlignment="1">
      <alignment horizontal="center"/>
    </xf>
    <xf numFmtId="0" fontId="23" fillId="8" borderId="0" xfId="0" applyFont="1" applyFill="1" applyAlignment="1">
      <alignment horizontal="center" vertical="center" wrapText="1"/>
    </xf>
    <xf numFmtId="0" fontId="21" fillId="6" borderId="0" xfId="0" applyFont="1" applyFill="1" applyAlignment="1">
      <alignment horizontal="center"/>
    </xf>
    <xf numFmtId="164" fontId="21" fillId="6" borderId="0" xfId="0" applyNumberFormat="1" applyFont="1" applyFill="1" applyAlignment="1">
      <alignment horizontal="center"/>
    </xf>
    <xf numFmtId="0" fontId="21" fillId="8" borderId="0" xfId="0" applyFont="1" applyFill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1" fontId="21" fillId="0" borderId="0" xfId="0" applyNumberFormat="1" applyFont="1"/>
    <xf numFmtId="0" fontId="40" fillId="31" borderId="0" xfId="0" applyFont="1" applyFill="1" applyAlignment="1">
      <alignment horizontal="center" vertical="center"/>
    </xf>
    <xf numFmtId="0" fontId="23" fillId="25" borderId="1" xfId="0" applyFont="1" applyFill="1" applyBorder="1" applyAlignment="1">
      <alignment horizontal="center"/>
    </xf>
    <xf numFmtId="0" fontId="40" fillId="0" borderId="0" xfId="0" applyFont="1"/>
    <xf numFmtId="0" fontId="23" fillId="0" borderId="1" xfId="0" applyFont="1" applyBorder="1" applyAlignment="1">
      <alignment horizontal="center"/>
    </xf>
    <xf numFmtId="0" fontId="23" fillId="26" borderId="1" xfId="0" applyFont="1" applyFill="1" applyBorder="1" applyAlignment="1">
      <alignment horizontal="center"/>
    </xf>
    <xf numFmtId="0" fontId="23" fillId="27" borderId="1" xfId="0" applyFont="1" applyFill="1" applyBorder="1" applyAlignment="1">
      <alignment horizontal="center"/>
    </xf>
    <xf numFmtId="0" fontId="21" fillId="21" borderId="0" xfId="0" applyFont="1" applyFill="1" applyAlignment="1">
      <alignment vertical="center" wrapText="1"/>
    </xf>
    <xf numFmtId="0" fontId="23" fillId="28" borderId="1" xfId="0" applyFont="1" applyFill="1" applyBorder="1" applyAlignment="1">
      <alignment horizontal="center"/>
    </xf>
    <xf numFmtId="0" fontId="21" fillId="21" borderId="0" xfId="0" applyFont="1" applyFill="1" applyAlignment="1">
      <alignment vertical="center"/>
    </xf>
    <xf numFmtId="0" fontId="23" fillId="0" borderId="0" xfId="0" applyFont="1"/>
    <xf numFmtId="0" fontId="60" fillId="28" borderId="1" xfId="0" applyFont="1" applyFill="1" applyBorder="1" applyAlignment="1">
      <alignment horizontal="center"/>
    </xf>
    <xf numFmtId="0" fontId="23" fillId="29" borderId="1" xfId="0" applyFont="1" applyFill="1" applyBorder="1" applyAlignment="1">
      <alignment horizontal="center"/>
    </xf>
    <xf numFmtId="0" fontId="23" fillId="30" borderId="1" xfId="0" applyFont="1" applyFill="1" applyBorder="1" applyAlignment="1">
      <alignment horizontal="center"/>
    </xf>
    <xf numFmtId="0" fontId="21" fillId="0" borderId="0" xfId="0" applyFont="1" applyAlignment="1">
      <alignment vertical="center" wrapText="1"/>
    </xf>
    <xf numFmtId="0" fontId="60" fillId="30" borderId="1" xfId="0" applyFont="1" applyFill="1" applyBorder="1" applyAlignment="1">
      <alignment horizontal="center"/>
    </xf>
    <xf numFmtId="0" fontId="40" fillId="0" borderId="37" xfId="0" applyFont="1" applyBorder="1"/>
    <xf numFmtId="0" fontId="40" fillId="0" borderId="38" xfId="0" applyFont="1" applyBorder="1"/>
    <xf numFmtId="0" fontId="21" fillId="22" borderId="38" xfId="0" applyFont="1" applyFill="1" applyBorder="1"/>
    <xf numFmtId="0" fontId="21" fillId="0" borderId="38" xfId="0" applyFont="1" applyBorder="1"/>
    <xf numFmtId="0" fontId="21" fillId="22" borderId="39" xfId="0" applyFont="1" applyFill="1" applyBorder="1"/>
    <xf numFmtId="0" fontId="21" fillId="0" borderId="34" xfId="0" applyFont="1" applyBorder="1"/>
    <xf numFmtId="0" fontId="21" fillId="22" borderId="35" xfId="0" applyFont="1" applyFill="1" applyBorder="1"/>
    <xf numFmtId="9" fontId="21" fillId="22" borderId="35" xfId="0" applyNumberFormat="1" applyFont="1" applyFill="1" applyBorder="1"/>
    <xf numFmtId="10" fontId="21" fillId="22" borderId="35" xfId="0" applyNumberFormat="1" applyFont="1" applyFill="1" applyBorder="1"/>
    <xf numFmtId="0" fontId="21" fillId="0" borderId="40" xfId="0" applyFont="1" applyBorder="1"/>
    <xf numFmtId="0" fontId="21" fillId="0" borderId="36" xfId="0" applyFont="1" applyBorder="1"/>
    <xf numFmtId="0" fontId="21" fillId="22" borderId="36" xfId="0" applyFont="1" applyFill="1" applyBorder="1"/>
    <xf numFmtId="0" fontId="21" fillId="22" borderId="33" xfId="0" applyFont="1" applyFill="1" applyBorder="1"/>
    <xf numFmtId="0" fontId="23" fillId="0" borderId="0" xfId="0" applyFont="1" applyAlignment="1">
      <alignment horizontal="center"/>
    </xf>
    <xf numFmtId="0" fontId="61" fillId="9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25" xfId="0" applyFont="1" applyBorder="1" applyAlignment="1">
      <alignment horizontal="center"/>
    </xf>
    <xf numFmtId="0" fontId="23" fillId="27" borderId="0" xfId="0" applyFont="1" applyFill="1" applyAlignment="1">
      <alignment horizontal="center"/>
    </xf>
    <xf numFmtId="0" fontId="61" fillId="0" borderId="0" xfId="0" applyFont="1" applyAlignment="1">
      <alignment horizontal="center" vertical="center" wrapText="1"/>
    </xf>
    <xf numFmtId="0" fontId="60" fillId="9" borderId="0" xfId="0" applyFont="1" applyFill="1" applyAlignment="1">
      <alignment horizontal="center" vertical="center" wrapText="1"/>
    </xf>
    <xf numFmtId="0" fontId="62" fillId="9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/>
    </xf>
    <xf numFmtId="0" fontId="23" fillId="29" borderId="0" xfId="0" applyFont="1" applyFill="1" applyAlignment="1">
      <alignment horizontal="center"/>
    </xf>
    <xf numFmtId="0" fontId="23" fillId="48" borderId="1" xfId="0" applyFont="1" applyFill="1" applyBorder="1" applyAlignment="1">
      <alignment horizontal="center"/>
    </xf>
    <xf numFmtId="0" fontId="23" fillId="30" borderId="0" xfId="0" applyFont="1" applyFill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1" fillId="53" borderId="1" xfId="0" applyFont="1" applyFill="1" applyBorder="1" applyAlignment="1">
      <alignment horizontal="center" vertical="center" wrapText="1"/>
    </xf>
    <xf numFmtId="0" fontId="21" fillId="53" borderId="1" xfId="0" applyFont="1" applyFill="1" applyBorder="1" applyAlignment="1">
      <alignment horizontal="center" vertical="center"/>
    </xf>
    <xf numFmtId="164" fontId="21" fillId="53" borderId="1" xfId="0" applyNumberFormat="1" applyFont="1" applyFill="1" applyBorder="1" applyAlignment="1">
      <alignment horizontal="center" vertical="center" wrapText="1"/>
    </xf>
    <xf numFmtId="1" fontId="23" fillId="5" borderId="0" xfId="0" applyNumberFormat="1" applyFont="1" applyFill="1" applyAlignment="1">
      <alignment horizontal="center"/>
    </xf>
    <xf numFmtId="0" fontId="21" fillId="0" borderId="33" xfId="0" applyFont="1" applyBorder="1" applyAlignment="1">
      <alignment horizontal="center"/>
    </xf>
    <xf numFmtId="0" fontId="21" fillId="11" borderId="0" xfId="0" applyFont="1" applyFill="1"/>
    <xf numFmtId="0" fontId="21" fillId="11" borderId="0" xfId="0" applyFont="1" applyFill="1" applyAlignment="1">
      <alignment horizontal="center"/>
    </xf>
    <xf numFmtId="0" fontId="63" fillId="11" borderId="0" xfId="0" applyFont="1" applyFill="1"/>
    <xf numFmtId="166" fontId="3" fillId="0" borderId="0" xfId="2" applyNumberFormat="1" applyFont="1" applyAlignment="1">
      <alignment horizontal="center"/>
    </xf>
    <xf numFmtId="166" fontId="32" fillId="0" borderId="0" xfId="2" applyNumberFormat="1" applyFont="1" applyAlignment="1">
      <alignment horizontal="center"/>
    </xf>
    <xf numFmtId="164" fontId="4" fillId="10" borderId="19" xfId="0" applyNumberFormat="1" applyFont="1" applyFill="1" applyBorder="1" applyAlignment="1">
      <alignment horizontal="center" vertical="center"/>
    </xf>
    <xf numFmtId="0" fontId="0" fillId="17" borderId="19" xfId="0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65" fontId="65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170" fontId="21" fillId="0" borderId="0" xfId="0" applyNumberFormat="1" applyFont="1" applyAlignment="1">
      <alignment horizontal="center"/>
    </xf>
    <xf numFmtId="165" fontId="21" fillId="0" borderId="0" xfId="0" applyNumberFormat="1" applyFont="1"/>
    <xf numFmtId="0" fontId="66" fillId="5" borderId="0" xfId="0" applyFont="1" applyFill="1" applyAlignment="1">
      <alignment horizontal="center"/>
    </xf>
    <xf numFmtId="0" fontId="40" fillId="2" borderId="0" xfId="0" applyFont="1" applyFill="1" applyAlignment="1">
      <alignment horizontal="center" vertical="center"/>
    </xf>
    <xf numFmtId="0" fontId="2" fillId="19" borderId="0" xfId="2" applyFill="1" applyAlignment="1">
      <alignment horizontal="center"/>
    </xf>
    <xf numFmtId="0" fontId="3" fillId="5" borderId="0" xfId="2" applyFont="1" applyFill="1" applyAlignment="1">
      <alignment horizontal="center"/>
    </xf>
    <xf numFmtId="0" fontId="38" fillId="4" borderId="0" xfId="4" applyFont="1" applyFill="1" applyAlignment="1">
      <alignment horizontal="center" vertical="center"/>
    </xf>
    <xf numFmtId="0" fontId="31" fillId="4" borderId="0" xfId="4" applyFill="1"/>
    <xf numFmtId="2" fontId="31" fillId="4" borderId="0" xfId="4" applyNumberFormat="1" applyFill="1" applyAlignment="1">
      <alignment horizontal="center"/>
    </xf>
    <xf numFmtId="2" fontId="38" fillId="4" borderId="0" xfId="4" applyNumberFormat="1" applyFont="1" applyFill="1" applyAlignment="1">
      <alignment horizontal="left" vertical="center"/>
    </xf>
    <xf numFmtId="0" fontId="38" fillId="4" borderId="0" xfId="4" applyFont="1" applyFill="1" applyAlignment="1">
      <alignment horizontal="center"/>
    </xf>
    <xf numFmtId="164" fontId="38" fillId="4" borderId="0" xfId="0" applyNumberFormat="1" applyFont="1" applyFill="1" applyAlignment="1">
      <alignment horizontal="center" vertical="center"/>
    </xf>
    <xf numFmtId="164" fontId="38" fillId="4" borderId="0" xfId="4" applyNumberFormat="1" applyFont="1" applyFill="1" applyAlignment="1">
      <alignment horizontal="center" vertical="center"/>
    </xf>
    <xf numFmtId="2" fontId="38" fillId="4" borderId="0" xfId="0" applyNumberFormat="1" applyFont="1" applyFill="1" applyAlignment="1">
      <alignment horizontal="left" vertical="center"/>
    </xf>
    <xf numFmtId="0" fontId="38" fillId="0" borderId="0" xfId="4" applyFont="1"/>
    <xf numFmtId="0" fontId="31" fillId="36" borderId="0" xfId="4" applyFill="1" applyAlignment="1">
      <alignment horizontal="left" vertical="center"/>
    </xf>
    <xf numFmtId="0" fontId="4" fillId="10" borderId="19" xfId="0" applyFont="1" applyFill="1" applyBorder="1" applyAlignment="1">
      <alignment horizontal="center" vertical="center"/>
    </xf>
    <xf numFmtId="0" fontId="0" fillId="54" borderId="0" xfId="0" applyFill="1" applyAlignment="1">
      <alignment horizontal="center"/>
    </xf>
    <xf numFmtId="0" fontId="2" fillId="0" borderId="38" xfId="2" applyBorder="1" applyAlignment="1">
      <alignment horizontal="center"/>
    </xf>
    <xf numFmtId="0" fontId="4" fillId="0" borderId="38" xfId="2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15" fillId="56" borderId="74" xfId="0" applyFont="1" applyFill="1" applyBorder="1" applyAlignment="1">
      <alignment horizontal="center" vertical="center"/>
    </xf>
    <xf numFmtId="0" fontId="15" fillId="56" borderId="26" xfId="0" applyFont="1" applyFill="1" applyBorder="1" applyAlignment="1">
      <alignment horizontal="center" vertical="center"/>
    </xf>
    <xf numFmtId="0" fontId="15" fillId="56" borderId="32" xfId="0" applyFont="1" applyFill="1" applyBorder="1" applyAlignment="1">
      <alignment horizontal="center" vertical="center"/>
    </xf>
    <xf numFmtId="0" fontId="15" fillId="56" borderId="19" xfId="0" applyFont="1" applyFill="1" applyBorder="1" applyAlignment="1">
      <alignment horizontal="center" vertical="center"/>
    </xf>
    <xf numFmtId="0" fontId="15" fillId="56" borderId="76" xfId="0" applyFont="1" applyFill="1" applyBorder="1" applyAlignment="1">
      <alignment horizontal="center" vertical="center"/>
    </xf>
    <xf numFmtId="0" fontId="40" fillId="56" borderId="26" xfId="0" applyFont="1" applyFill="1" applyBorder="1" applyAlignment="1">
      <alignment horizontal="center" vertical="center"/>
    </xf>
    <xf numFmtId="0" fontId="40" fillId="56" borderId="75" xfId="0" applyFont="1" applyFill="1" applyBorder="1" applyAlignment="1">
      <alignment horizontal="center" vertical="center"/>
    </xf>
    <xf numFmtId="0" fontId="68" fillId="56" borderId="77" xfId="0" applyFont="1" applyFill="1" applyBorder="1" applyAlignment="1">
      <alignment horizontal="center" vertical="center" wrapText="1"/>
    </xf>
    <xf numFmtId="0" fontId="68" fillId="56" borderId="78" xfId="0" applyFont="1" applyFill="1" applyBorder="1" applyAlignment="1">
      <alignment horizontal="center" vertical="center" wrapText="1"/>
    </xf>
    <xf numFmtId="0" fontId="68" fillId="57" borderId="78" xfId="0" applyFont="1" applyFill="1" applyBorder="1" applyAlignment="1">
      <alignment horizontal="center" vertical="center" wrapText="1"/>
    </xf>
    <xf numFmtId="0" fontId="68" fillId="56" borderId="79" xfId="0" applyFont="1" applyFill="1" applyBorder="1" applyAlignment="1">
      <alignment horizontal="center" vertical="center" wrapText="1"/>
    </xf>
    <xf numFmtId="0" fontId="0" fillId="55" borderId="26" xfId="0" applyFill="1" applyBorder="1" applyAlignment="1">
      <alignment horizontal="center"/>
    </xf>
    <xf numFmtId="0" fontId="0" fillId="55" borderId="75" xfId="0" applyFill="1" applyBorder="1" applyAlignment="1">
      <alignment horizontal="center"/>
    </xf>
    <xf numFmtId="0" fontId="0" fillId="55" borderId="31" xfId="0" applyFill="1" applyBorder="1" applyAlignment="1">
      <alignment horizontal="center"/>
    </xf>
    <xf numFmtId="0" fontId="68" fillId="57" borderId="79" xfId="0" applyFont="1" applyFill="1" applyBorder="1" applyAlignment="1">
      <alignment horizontal="center" vertical="center" wrapText="1"/>
    </xf>
    <xf numFmtId="0" fontId="0" fillId="55" borderId="19" xfId="0" applyFill="1" applyBorder="1" applyAlignment="1">
      <alignment horizontal="center"/>
    </xf>
    <xf numFmtId="0" fontId="0" fillId="55" borderId="76" xfId="0" applyFill="1" applyBorder="1" applyAlignment="1">
      <alignment horizontal="center"/>
    </xf>
    <xf numFmtId="0" fontId="0" fillId="22" borderId="30" xfId="0" applyFill="1" applyBorder="1" applyAlignment="1">
      <alignment horizontal="center"/>
    </xf>
    <xf numFmtId="0" fontId="0" fillId="22" borderId="31" xfId="0" applyFill="1" applyBorder="1" applyAlignment="1">
      <alignment horizontal="center"/>
    </xf>
    <xf numFmtId="0" fontId="0" fillId="12" borderId="79" xfId="0" applyFill="1" applyBorder="1" applyAlignment="1">
      <alignment horizontal="center"/>
    </xf>
    <xf numFmtId="0" fontId="0" fillId="55" borderId="79" xfId="0" applyFill="1" applyBorder="1" applyAlignment="1">
      <alignment horizontal="center"/>
    </xf>
    <xf numFmtId="0" fontId="0" fillId="10" borderId="76" xfId="0" applyFill="1" applyBorder="1" applyAlignment="1">
      <alignment horizontal="center"/>
    </xf>
    <xf numFmtId="0" fontId="0" fillId="55" borderId="30" xfId="0" applyFill="1" applyBorder="1" applyAlignment="1">
      <alignment horizontal="center"/>
    </xf>
    <xf numFmtId="0" fontId="0" fillId="55" borderId="74" xfId="0" applyFill="1" applyBorder="1" applyAlignment="1">
      <alignment horizontal="center"/>
    </xf>
    <xf numFmtId="0" fontId="68" fillId="56" borderId="74" xfId="0" applyFont="1" applyFill="1" applyBorder="1" applyAlignment="1">
      <alignment horizontal="center" vertical="center" wrapText="1"/>
    </xf>
    <xf numFmtId="0" fontId="68" fillId="56" borderId="30" xfId="0" applyFont="1" applyFill="1" applyBorder="1" applyAlignment="1">
      <alignment horizontal="center" vertical="center" wrapText="1"/>
    </xf>
    <xf numFmtId="0" fontId="68" fillId="56" borderId="32" xfId="0" applyFont="1" applyFill="1" applyBorder="1" applyAlignment="1">
      <alignment horizontal="center" vertical="center" wrapText="1"/>
    </xf>
    <xf numFmtId="0" fontId="0" fillId="22" borderId="0" xfId="0" applyFill="1" applyAlignment="1">
      <alignment horizontal="left"/>
    </xf>
    <xf numFmtId="0" fontId="0" fillId="22" borderId="38" xfId="0" applyFill="1" applyBorder="1" applyAlignment="1">
      <alignment horizontal="center"/>
    </xf>
    <xf numFmtId="164" fontId="21" fillId="19" borderId="0" xfId="0" applyNumberFormat="1" applyFont="1" applyFill="1" applyAlignment="1">
      <alignment horizontal="center"/>
    </xf>
    <xf numFmtId="164" fontId="21" fillId="12" borderId="0" xfId="0" applyNumberFormat="1" applyFont="1" applyFill="1" applyAlignment="1">
      <alignment horizontal="center"/>
    </xf>
    <xf numFmtId="164" fontId="21" fillId="10" borderId="0" xfId="0" applyNumberFormat="1" applyFont="1" applyFill="1" applyAlignment="1">
      <alignment horizontal="center"/>
    </xf>
    <xf numFmtId="164" fontId="21" fillId="54" borderId="0" xfId="0" applyNumberFormat="1" applyFont="1" applyFill="1" applyAlignment="1">
      <alignment horizontal="center"/>
    </xf>
    <xf numFmtId="164" fontId="22" fillId="54" borderId="0" xfId="0" applyNumberFormat="1" applyFont="1" applyFill="1" applyAlignment="1">
      <alignment horizontal="center"/>
    </xf>
    <xf numFmtId="164" fontId="21" fillId="54" borderId="0" xfId="0" applyNumberFormat="1" applyFont="1" applyFill="1" applyAlignment="1">
      <alignment horizontal="center" vertical="center"/>
    </xf>
    <xf numFmtId="164" fontId="23" fillId="54" borderId="0" xfId="0" applyNumberFormat="1" applyFont="1" applyFill="1" applyAlignment="1">
      <alignment horizontal="center" vertical="center"/>
    </xf>
    <xf numFmtId="164" fontId="21" fillId="10" borderId="26" xfId="0" applyNumberFormat="1" applyFont="1" applyFill="1" applyBorder="1" applyAlignment="1">
      <alignment horizontal="center"/>
    </xf>
    <xf numFmtId="0" fontId="0" fillId="55" borderId="0" xfId="0" applyFill="1" applyAlignment="1">
      <alignment horizontal="center"/>
    </xf>
    <xf numFmtId="164" fontId="21" fillId="19" borderId="30" xfId="0" applyNumberFormat="1" applyFont="1" applyFill="1" applyBorder="1" applyAlignment="1">
      <alignment horizontal="center"/>
    </xf>
    <xf numFmtId="164" fontId="21" fillId="10" borderId="31" xfId="0" applyNumberFormat="1" applyFont="1" applyFill="1" applyBorder="1" applyAlignment="1">
      <alignment horizontal="center"/>
    </xf>
    <xf numFmtId="164" fontId="21" fillId="19" borderId="32" xfId="0" applyNumberFormat="1" applyFont="1" applyFill="1" applyBorder="1" applyAlignment="1">
      <alignment horizontal="center"/>
    </xf>
    <xf numFmtId="164" fontId="21" fillId="12" borderId="19" xfId="0" applyNumberFormat="1" applyFont="1" applyFill="1" applyBorder="1" applyAlignment="1">
      <alignment horizontal="center"/>
    </xf>
    <xf numFmtId="164" fontId="21" fillId="19" borderId="19" xfId="0" applyNumberFormat="1" applyFont="1" applyFill="1" applyBorder="1" applyAlignment="1">
      <alignment horizontal="center"/>
    </xf>
    <xf numFmtId="164" fontId="21" fillId="10" borderId="19" xfId="0" applyNumberFormat="1" applyFont="1" applyFill="1" applyBorder="1" applyAlignment="1">
      <alignment horizontal="center"/>
    </xf>
    <xf numFmtId="164" fontId="21" fillId="10" borderId="30" xfId="0" applyNumberFormat="1" applyFont="1" applyFill="1" applyBorder="1" applyAlignment="1">
      <alignment horizontal="center"/>
    </xf>
    <xf numFmtId="0" fontId="0" fillId="55" borderId="32" xfId="0" applyFill="1" applyBorder="1" applyAlignment="1">
      <alignment horizontal="center"/>
    </xf>
    <xf numFmtId="0" fontId="2" fillId="21" borderId="74" xfId="2" applyFill="1" applyBorder="1" applyAlignment="1">
      <alignment horizontal="right"/>
    </xf>
    <xf numFmtId="0" fontId="68" fillId="21" borderId="75" xfId="2" applyFont="1" applyFill="1" applyBorder="1" applyAlignment="1">
      <alignment horizontal="center" vertical="center"/>
    </xf>
    <xf numFmtId="0" fontId="2" fillId="21" borderId="30" xfId="2" applyFill="1" applyBorder="1" applyAlignment="1">
      <alignment horizontal="right"/>
    </xf>
    <xf numFmtId="0" fontId="68" fillId="21" borderId="31" xfId="2" applyFont="1" applyFill="1" applyBorder="1" applyAlignment="1">
      <alignment horizontal="center" vertical="center"/>
    </xf>
    <xf numFmtId="0" fontId="2" fillId="21" borderId="32" xfId="2" applyFill="1" applyBorder="1" applyAlignment="1">
      <alignment horizontal="right"/>
    </xf>
    <xf numFmtId="0" fontId="68" fillId="21" borderId="76" xfId="2" applyFont="1" applyFill="1" applyBorder="1" applyAlignment="1">
      <alignment horizontal="center" vertical="center"/>
    </xf>
    <xf numFmtId="2" fontId="72" fillId="55" borderId="74" xfId="2" applyNumberFormat="1" applyFont="1" applyFill="1" applyBorder="1" applyAlignment="1">
      <alignment horizontal="center"/>
    </xf>
    <xf numFmtId="2" fontId="72" fillId="55" borderId="26" xfId="2" applyNumberFormat="1" applyFont="1" applyFill="1" applyBorder="1" applyAlignment="1">
      <alignment horizontal="center"/>
    </xf>
    <xf numFmtId="2" fontId="72" fillId="55" borderId="75" xfId="2" applyNumberFormat="1" applyFont="1" applyFill="1" applyBorder="1" applyAlignment="1">
      <alignment horizontal="center"/>
    </xf>
    <xf numFmtId="2" fontId="72" fillId="55" borderId="30" xfId="2" applyNumberFormat="1" applyFont="1" applyFill="1" applyBorder="1" applyAlignment="1">
      <alignment horizontal="center"/>
    </xf>
    <xf numFmtId="2" fontId="72" fillId="10" borderId="0" xfId="2" applyNumberFormat="1" applyFont="1" applyFill="1" applyAlignment="1">
      <alignment horizontal="center"/>
    </xf>
    <xf numFmtId="2" fontId="72" fillId="55" borderId="0" xfId="2" applyNumberFormat="1" applyFont="1" applyFill="1" applyAlignment="1">
      <alignment horizontal="center"/>
    </xf>
    <xf numFmtId="2" fontId="72" fillId="10" borderId="31" xfId="2" applyNumberFormat="1" applyFont="1" applyFill="1" applyBorder="1" applyAlignment="1">
      <alignment horizontal="center"/>
    </xf>
    <xf numFmtId="2" fontId="72" fillId="55" borderId="31" xfId="2" applyNumberFormat="1" applyFont="1" applyFill="1" applyBorder="1" applyAlignment="1">
      <alignment horizontal="center"/>
    </xf>
    <xf numFmtId="2" fontId="72" fillId="10" borderId="30" xfId="2" applyNumberFormat="1" applyFont="1" applyFill="1" applyBorder="1" applyAlignment="1">
      <alignment horizontal="center"/>
    </xf>
    <xf numFmtId="2" fontId="72" fillId="55" borderId="32" xfId="2" applyNumberFormat="1" applyFont="1" applyFill="1" applyBorder="1" applyAlignment="1">
      <alignment horizontal="center"/>
    </xf>
    <xf numFmtId="2" fontId="72" fillId="55" borderId="19" xfId="2" applyNumberFormat="1" applyFont="1" applyFill="1" applyBorder="1" applyAlignment="1">
      <alignment horizontal="center"/>
    </xf>
    <xf numFmtId="2" fontId="72" fillId="10" borderId="19" xfId="2" applyNumberFormat="1" applyFont="1" applyFill="1" applyBorder="1" applyAlignment="1">
      <alignment horizontal="center"/>
    </xf>
    <xf numFmtId="2" fontId="72" fillId="55" borderId="76" xfId="2" applyNumberFormat="1" applyFont="1" applyFill="1" applyBorder="1" applyAlignment="1">
      <alignment horizontal="center"/>
    </xf>
    <xf numFmtId="0" fontId="2" fillId="6" borderId="74" xfId="2" applyFill="1" applyBorder="1" applyAlignment="1">
      <alignment horizontal="right"/>
    </xf>
    <xf numFmtId="0" fontId="68" fillId="6" borderId="75" xfId="2" applyFont="1" applyFill="1" applyBorder="1" applyAlignment="1">
      <alignment horizontal="center" vertical="center"/>
    </xf>
    <xf numFmtId="0" fontId="2" fillId="6" borderId="30" xfId="2" applyFill="1" applyBorder="1" applyAlignment="1">
      <alignment horizontal="right"/>
    </xf>
    <xf numFmtId="0" fontId="68" fillId="6" borderId="31" xfId="2" applyFont="1" applyFill="1" applyBorder="1" applyAlignment="1">
      <alignment horizontal="center" vertical="center"/>
    </xf>
    <xf numFmtId="0" fontId="2" fillId="6" borderId="32" xfId="2" applyFill="1" applyBorder="1" applyAlignment="1">
      <alignment horizontal="right"/>
    </xf>
    <xf numFmtId="0" fontId="68" fillId="6" borderId="76" xfId="2" applyFont="1" applyFill="1" applyBorder="1" applyAlignment="1">
      <alignment horizontal="center" vertical="center"/>
    </xf>
    <xf numFmtId="0" fontId="2" fillId="4" borderId="74" xfId="2" applyFill="1" applyBorder="1" applyAlignment="1">
      <alignment horizontal="right"/>
    </xf>
    <xf numFmtId="0" fontId="68" fillId="4" borderId="75" xfId="2" applyFont="1" applyFill="1" applyBorder="1" applyAlignment="1">
      <alignment horizontal="center" vertical="center"/>
    </xf>
    <xf numFmtId="0" fontId="2" fillId="4" borderId="30" xfId="2" applyFill="1" applyBorder="1" applyAlignment="1">
      <alignment horizontal="right"/>
    </xf>
    <xf numFmtId="0" fontId="68" fillId="4" borderId="31" xfId="2" applyFont="1" applyFill="1" applyBorder="1" applyAlignment="1">
      <alignment horizontal="center" vertical="center"/>
    </xf>
    <xf numFmtId="0" fontId="2" fillId="4" borderId="32" xfId="2" applyFill="1" applyBorder="1" applyAlignment="1">
      <alignment horizontal="right"/>
    </xf>
    <xf numFmtId="0" fontId="68" fillId="4" borderId="76" xfId="2" applyFont="1" applyFill="1" applyBorder="1" applyAlignment="1">
      <alignment horizontal="center" vertical="center"/>
    </xf>
    <xf numFmtId="2" fontId="72" fillId="10" borderId="26" xfId="2" applyNumberFormat="1" applyFont="1" applyFill="1" applyBorder="1" applyAlignment="1">
      <alignment horizontal="center"/>
    </xf>
    <xf numFmtId="2" fontId="72" fillId="10" borderId="75" xfId="2" applyNumberFormat="1" applyFont="1" applyFill="1" applyBorder="1" applyAlignment="1">
      <alignment horizontal="center"/>
    </xf>
    <xf numFmtId="2" fontId="72" fillId="10" borderId="76" xfId="2" applyNumberFormat="1" applyFont="1" applyFill="1" applyBorder="1" applyAlignment="1">
      <alignment horizontal="center"/>
    </xf>
    <xf numFmtId="0" fontId="2" fillId="37" borderId="74" xfId="2" applyFill="1" applyBorder="1" applyAlignment="1">
      <alignment horizontal="left"/>
    </xf>
    <xf numFmtId="0" fontId="2" fillId="37" borderId="26" xfId="2" applyFill="1" applyBorder="1" applyAlignment="1">
      <alignment horizontal="left"/>
    </xf>
    <xf numFmtId="0" fontId="4" fillId="37" borderId="26" xfId="2" applyFont="1" applyFill="1" applyBorder="1" applyAlignment="1">
      <alignment horizontal="center"/>
    </xf>
    <xf numFmtId="0" fontId="4" fillId="37" borderId="75" xfId="2" applyFont="1" applyFill="1" applyBorder="1" applyAlignment="1">
      <alignment horizontal="center"/>
    </xf>
    <xf numFmtId="0" fontId="4" fillId="31" borderId="30" xfId="2" applyFont="1" applyFill="1" applyBorder="1" applyAlignment="1">
      <alignment horizontal="right" wrapText="1"/>
    </xf>
    <xf numFmtId="0" fontId="4" fillId="31" borderId="0" xfId="2" applyFont="1" applyFill="1" applyAlignment="1">
      <alignment horizontal="right" wrapText="1"/>
    </xf>
    <xf numFmtId="0" fontId="70" fillId="31" borderId="0" xfId="2" applyFont="1" applyFill="1" applyAlignment="1">
      <alignment horizontal="center" vertical="center"/>
    </xf>
    <xf numFmtId="0" fontId="71" fillId="31" borderId="31" xfId="2" applyFont="1" applyFill="1" applyBorder="1" applyAlignment="1">
      <alignment horizontal="center" vertical="center"/>
    </xf>
    <xf numFmtId="164" fontId="73" fillId="10" borderId="74" xfId="0" applyNumberFormat="1" applyFont="1" applyFill="1" applyBorder="1" applyAlignment="1">
      <alignment horizontal="center"/>
    </xf>
    <xf numFmtId="164" fontId="73" fillId="10" borderId="0" xfId="0" applyNumberFormat="1" applyFont="1" applyFill="1" applyAlignment="1">
      <alignment horizontal="center"/>
    </xf>
    <xf numFmtId="164" fontId="73" fillId="10" borderId="26" xfId="0" applyNumberFormat="1" applyFont="1" applyFill="1" applyBorder="1" applyAlignment="1">
      <alignment horizontal="center"/>
    </xf>
    <xf numFmtId="164" fontId="73" fillId="10" borderId="30" xfId="0" applyNumberFormat="1" applyFont="1" applyFill="1" applyBorder="1" applyAlignment="1">
      <alignment horizontal="center"/>
    </xf>
    <xf numFmtId="2" fontId="74" fillId="0" borderId="38" xfId="0" applyNumberFormat="1" applyFont="1" applyBorder="1" applyAlignment="1">
      <alignment horizontal="center"/>
    </xf>
    <xf numFmtId="2" fontId="74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 vertical="center"/>
    </xf>
    <xf numFmtId="2" fontId="75" fillId="0" borderId="0" xfId="0" applyNumberFormat="1" applyFont="1" applyAlignment="1">
      <alignment horizontal="center"/>
    </xf>
    <xf numFmtId="2" fontId="21" fillId="0" borderId="0" xfId="2" applyNumberFormat="1" applyFont="1" applyAlignment="1">
      <alignment horizontal="center" vertical="center"/>
    </xf>
    <xf numFmtId="2" fontId="15" fillId="6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38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69" fillId="22" borderId="32" xfId="0" applyFont="1" applyFill="1" applyBorder="1" applyAlignment="1">
      <alignment horizontal="center"/>
    </xf>
    <xf numFmtId="0" fontId="69" fillId="0" borderId="19" xfId="0" applyFont="1" applyBorder="1" applyAlignment="1">
      <alignment horizontal="center"/>
    </xf>
    <xf numFmtId="0" fontId="69" fillId="0" borderId="76" xfId="0" applyFont="1" applyBorder="1" applyAlignment="1">
      <alignment horizontal="center"/>
    </xf>
    <xf numFmtId="0" fontId="2" fillId="0" borderId="0" xfId="2" applyAlignment="1">
      <alignment horizontal="center" wrapText="1"/>
    </xf>
    <xf numFmtId="0" fontId="2" fillId="0" borderId="0" xfId="2" applyAlignment="1">
      <alignment horizontal="center" vertical="center"/>
    </xf>
    <xf numFmtId="0" fontId="15" fillId="49" borderId="0" xfId="2" applyFont="1" applyFill="1" applyAlignment="1">
      <alignment horizontal="center" vertical="center"/>
    </xf>
    <xf numFmtId="0" fontId="67" fillId="49" borderId="0" xfId="2" applyFont="1" applyFill="1" applyAlignment="1">
      <alignment horizontal="center" vertical="center"/>
    </xf>
    <xf numFmtId="0" fontId="31" fillId="0" borderId="0" xfId="4" applyAlignment="1">
      <alignment horizontal="center" wrapText="1"/>
    </xf>
    <xf numFmtId="0" fontId="31" fillId="0" borderId="0" xfId="4" applyAlignment="1">
      <alignment horizontal="center" vertical="top" wrapText="1"/>
    </xf>
    <xf numFmtId="0" fontId="31" fillId="0" borderId="0" xfId="4" applyAlignment="1">
      <alignment horizontal="center"/>
    </xf>
    <xf numFmtId="0" fontId="37" fillId="35" borderId="0" xfId="4" applyFont="1" applyFill="1" applyAlignment="1">
      <alignment horizontal="center" vertical="center" wrapText="1"/>
    </xf>
    <xf numFmtId="3" fontId="31" fillId="0" borderId="0" xfId="4" applyNumberFormat="1" applyAlignment="1">
      <alignment horizontal="center" wrapText="1"/>
    </xf>
    <xf numFmtId="0" fontId="44" fillId="0" borderId="0" xfId="4" applyFont="1" applyAlignment="1">
      <alignment horizontal="center"/>
    </xf>
    <xf numFmtId="0" fontId="0" fillId="21" borderId="0" xfId="0" applyFill="1" applyAlignment="1">
      <alignment horizontal="center" vertical="center"/>
    </xf>
    <xf numFmtId="0" fontId="15" fillId="31" borderId="0" xfId="0" applyFont="1" applyFill="1" applyAlignment="1">
      <alignment horizontal="center" vertical="center"/>
    </xf>
    <xf numFmtId="0" fontId="15" fillId="31" borderId="36" xfId="0" applyFont="1" applyFill="1" applyBorder="1" applyAlignment="1">
      <alignment horizontal="center" vertical="center"/>
    </xf>
    <xf numFmtId="0" fontId="25" fillId="9" borderId="20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40" fillId="31" borderId="0" xfId="0" applyFont="1" applyFill="1" applyAlignment="1">
      <alignment horizontal="center" vertical="center"/>
    </xf>
    <xf numFmtId="0" fontId="40" fillId="31" borderId="36" xfId="0" applyFont="1" applyFill="1" applyBorder="1" applyAlignment="1">
      <alignment horizontal="center" vertical="center"/>
    </xf>
    <xf numFmtId="0" fontId="21" fillId="21" borderId="0" xfId="0" applyFont="1" applyFill="1" applyAlignment="1">
      <alignment horizontal="center" vertical="center"/>
    </xf>
    <xf numFmtId="0" fontId="40" fillId="37" borderId="0" xfId="2" applyFont="1" applyFill="1" applyAlignment="1">
      <alignment horizontal="center"/>
    </xf>
    <xf numFmtId="0" fontId="4" fillId="0" borderId="0" xfId="2" applyFont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5">
    <cellStyle name="Hyperlink" xfId="3" builtinId="8"/>
    <cellStyle name="Normal" xfId="0" builtinId="0"/>
    <cellStyle name="Normal 2" xfId="2" xr:uid="{D028FD04-B126-FF41-9943-8C3D6AEA9DF3}"/>
    <cellStyle name="Normal 3" xfId="4" xr:uid="{69F13591-2B0A-4C46-9B5D-02DF101CEDBA}"/>
    <cellStyle name="Per cent" xfId="1" builtinId="5"/>
  </cellStyles>
  <dxfs count="4">
    <dxf>
      <fill>
        <patternFill>
          <bgColor theme="9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BCE6B"/>
      <color rgb="FFFF2D1E"/>
      <color rgb="FFFC9A95"/>
      <color rgb="FFF76D6D"/>
      <color rgb="FFD7B8FC"/>
      <color rgb="FFFF5765"/>
      <color rgb="FFBC9A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FAME!$B$72</c:f>
              <c:strCache>
                <c:ptCount val="1"/>
                <c:pt idx="0">
                  <c:v>Total Meat-based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6E-064F-BEEA-F40C14E3E8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6E-064F-BEEA-F40C14E3E8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6E-064F-BEEA-F40C14E3E8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76E-064F-BEEA-F40C14E3E8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76E-064F-BEEA-F40C14E3E8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76E-064F-BEEA-F40C14E3E854}"/>
              </c:ext>
            </c:extLst>
          </c:dPt>
          <c:dPt>
            <c:idx val="6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76E-064F-BEEA-F40C14E3E85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76E-064F-BEEA-F40C14E3E854}"/>
              </c:ext>
            </c:extLst>
          </c:dPt>
          <c:dPt>
            <c:idx val="8"/>
            <c:bubble3D val="0"/>
            <c:spPr>
              <a:solidFill>
                <a:srgbClr val="FC9A9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F726-8846-B3EC-3F8F5212F96C}"/>
              </c:ext>
            </c:extLst>
          </c:dPt>
          <c:dPt>
            <c:idx val="9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726-8846-B3EC-3F8F5212F96C}"/>
              </c:ext>
            </c:extLst>
          </c:dPt>
          <c:cat>
            <c:strRef>
              <c:f>(FAME!$I$5,FAME!$N$5,FAME!$R$5,FAME!$S$5,FAME!$V$5,FAME!$X$5,FAME!$Z$5,FAME!$AD$5,FAME!$AK$5,FAME!$AR$79)</c:f>
              <c:strCache>
                <c:ptCount val="10"/>
                <c:pt idx="0">
                  <c:v>Caprylic</c:v>
                </c:pt>
                <c:pt idx="1">
                  <c:v>Myristic</c:v>
                </c:pt>
                <c:pt idx="2">
                  <c:v>Palmitic</c:v>
                </c:pt>
                <c:pt idx="3">
                  <c:v>Palmitoleic</c:v>
                </c:pt>
                <c:pt idx="4">
                  <c:v>Stearic</c:v>
                </c:pt>
                <c:pt idx="5">
                  <c:v>Oleic</c:v>
                </c:pt>
                <c:pt idx="6">
                  <c:v>Linoleic</c:v>
                </c:pt>
                <c:pt idx="7">
                  <c:v>3n3 Linolenic</c:v>
                </c:pt>
                <c:pt idx="8">
                  <c:v>Arachidonic</c:v>
                </c:pt>
                <c:pt idx="9">
                  <c:v>Other (&lt;1%)</c:v>
                </c:pt>
              </c:strCache>
            </c:strRef>
          </c:cat>
          <c:val>
            <c:numRef>
              <c:f>(FAME!$I$80,FAME!$N$80,FAME!$R$80,FAME!$S$80,FAME!$V$80,FAME!$X$80,FAME!$Z$80,FAME!$AD$80,FAME!$AK$80,FAME!$AR$80)</c:f>
              <c:numCache>
                <c:formatCode>0.00</c:formatCode>
                <c:ptCount val="10"/>
                <c:pt idx="0">
                  <c:v>23.547496282359639</c:v>
                </c:pt>
                <c:pt idx="1">
                  <c:v>1.0164007367781782</c:v>
                </c:pt>
                <c:pt idx="2">
                  <c:v>25.274935352540901</c:v>
                </c:pt>
                <c:pt idx="3" formatCode="General">
                  <c:v>1.28</c:v>
                </c:pt>
                <c:pt idx="4" formatCode="General">
                  <c:v>17.3</c:v>
                </c:pt>
                <c:pt idx="5" formatCode="General">
                  <c:v>13.77</c:v>
                </c:pt>
                <c:pt idx="6" formatCode="General">
                  <c:v>9.89</c:v>
                </c:pt>
                <c:pt idx="7" formatCode="General">
                  <c:v>1.7903585494416812</c:v>
                </c:pt>
                <c:pt idx="8" formatCode="General">
                  <c:v>1.1000000000000001</c:v>
                </c:pt>
                <c:pt idx="9">
                  <c:v>6.711391854038081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6E-064F-BEEA-F40C14E3E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5789281918477187E-2"/>
          <c:y val="0.90457150040570034"/>
          <c:w val="0.91270269421586192"/>
          <c:h val="7.801195387586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Renal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FAME!$E$81</c:f>
              <c:strCache>
                <c:ptCount val="1"/>
                <c:pt idx="0">
                  <c:v>Total Renal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AE1-CC4F-A63B-D236B0A91C6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E1-CC4F-A63B-D236B0A91C6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AE1-CC4F-A63B-D236B0A91C6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AE1-CC4F-A63B-D236B0A91C6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AE1-CC4F-A63B-D236B0A91C6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AE1-CC4F-A63B-D236B0A91C61}"/>
              </c:ext>
            </c:extLst>
          </c:dPt>
          <c:dPt>
            <c:idx val="6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AE1-CC4F-A63B-D236B0A91C6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AE1-CC4F-A63B-D236B0A91C6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A826-4D4F-9AD3-CC170EB88448}"/>
              </c:ext>
            </c:extLst>
          </c:dPt>
          <c:cat>
            <c:strRef>
              <c:f>(FAME!$I$5,FAME!$N$5,FAME!$R$5,FAME!$S$5,FAME!$V$5,FAME!$X$5,FAME!$Z$5,FAME!$AD$5,FAME!$AR$79)</c:f>
              <c:strCache>
                <c:ptCount val="9"/>
                <c:pt idx="0">
                  <c:v>Caprylic</c:v>
                </c:pt>
                <c:pt idx="1">
                  <c:v>Myristic</c:v>
                </c:pt>
                <c:pt idx="2">
                  <c:v>Palmitic</c:v>
                </c:pt>
                <c:pt idx="3">
                  <c:v>Palmitoleic</c:v>
                </c:pt>
                <c:pt idx="4">
                  <c:v>Stearic</c:v>
                </c:pt>
                <c:pt idx="5">
                  <c:v>Oleic</c:v>
                </c:pt>
                <c:pt idx="6">
                  <c:v>Linoleic</c:v>
                </c:pt>
                <c:pt idx="7">
                  <c:v>3n3 Linolenic</c:v>
                </c:pt>
                <c:pt idx="8">
                  <c:v>Other (&lt;1%)</c:v>
                </c:pt>
              </c:strCache>
            </c:strRef>
          </c:cat>
          <c:val>
            <c:numRef>
              <c:f>(FAME!$I$81,FAME!$N$81,FAME!$R$81,FAME!$S$81,FAME!$V$81,FAME!$X$81,FAME!$Z$81,FAME!$AD$81,FAME!$AR$81)</c:f>
              <c:numCache>
                <c:formatCode>0.00</c:formatCode>
                <c:ptCount val="9"/>
                <c:pt idx="0">
                  <c:v>23.625839561855599</c:v>
                </c:pt>
                <c:pt idx="1">
                  <c:v>1.4125830415233043</c:v>
                </c:pt>
                <c:pt idx="2">
                  <c:v>21.384885505553953</c:v>
                </c:pt>
                <c:pt idx="3" formatCode="General">
                  <c:v>1.95</c:v>
                </c:pt>
                <c:pt idx="4" formatCode="General">
                  <c:v>10.69871049598669</c:v>
                </c:pt>
                <c:pt idx="5" formatCode="General">
                  <c:v>18.977481608577495</c:v>
                </c:pt>
                <c:pt idx="6" formatCode="General">
                  <c:v>15.164446070330742</c:v>
                </c:pt>
                <c:pt idx="7" formatCode="General">
                  <c:v>1.0168785501638793</c:v>
                </c:pt>
                <c:pt idx="8">
                  <c:v>5.9149484026535895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AE1-CC4F-A63B-D236B0A91C61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14B-428B-915C-911DF4CB05F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14B-428B-915C-911DF4CB05F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14B-428B-915C-911DF4CB05FB}"/>
              </c:ext>
            </c:extLst>
          </c:dPt>
          <c:cat>
            <c:strRef>
              <c:f>(FAME!$I$5,FAME!$N$5,FAME!$R$5,FAME!$S$5,FAME!$V$5,FAME!$X$5,FAME!$Z$5,FAME!$AD$5,FAME!$AR$79)</c:f>
              <c:strCache>
                <c:ptCount val="9"/>
                <c:pt idx="0">
                  <c:v>Caprylic</c:v>
                </c:pt>
                <c:pt idx="1">
                  <c:v>Myristic</c:v>
                </c:pt>
                <c:pt idx="2">
                  <c:v>Palmitic</c:v>
                </c:pt>
                <c:pt idx="3">
                  <c:v>Palmitoleic</c:v>
                </c:pt>
                <c:pt idx="4">
                  <c:v>Stearic</c:v>
                </c:pt>
                <c:pt idx="5">
                  <c:v>Oleic</c:v>
                </c:pt>
                <c:pt idx="6">
                  <c:v>Linoleic</c:v>
                </c:pt>
                <c:pt idx="7">
                  <c:v>3n3 Linolenic</c:v>
                </c:pt>
                <c:pt idx="8">
                  <c:v>Other (&lt;1%)</c:v>
                </c:pt>
              </c:strCache>
            </c:strRef>
          </c:cat>
          <c:val>
            <c:numRef>
              <c:f>FAME!$AR$80:$AR$82</c:f>
              <c:numCache>
                <c:formatCode>0.00</c:formatCode>
                <c:ptCount val="3"/>
                <c:pt idx="0">
                  <c:v>6.711391854038081</c:v>
                </c:pt>
                <c:pt idx="1">
                  <c:v>5.9149484026535895</c:v>
                </c:pt>
                <c:pt idx="2">
                  <c:v>6.4006298606668972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826-4D4F-9AD3-CC170EB88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Total Plant-based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FAME!$E$82</c:f>
              <c:strCache>
                <c:ptCount val="1"/>
                <c:pt idx="0">
                  <c:v>Total Plant-based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A6E-5549-B4CD-F5379A828984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A6E-5549-B4CD-F5379A828984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A6E-5549-B4CD-F5379A828984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6E-5549-B4CD-F5379A828984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A6E-5549-B4CD-F5379A828984}"/>
              </c:ext>
            </c:extLst>
          </c:dPt>
          <c:dPt>
            <c:idx val="5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A6E-5549-B4CD-F5379A828984}"/>
              </c:ext>
            </c:extLst>
          </c:dPt>
          <c:dPt>
            <c:idx val="6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A6E-5549-B4CD-F5379A82898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A6E-5549-B4CD-F5379A828984}"/>
              </c:ext>
            </c:extLst>
          </c:dPt>
          <c:cat>
            <c:strRef>
              <c:f>(FAME!$I$5,FAME!$R$5,FAME!$V$5,FAME!$X$5,FAME!$Z$5,FAME!$AD$5,FAME!$AR$79)</c:f>
              <c:strCache>
                <c:ptCount val="7"/>
                <c:pt idx="0">
                  <c:v>Caprylic</c:v>
                </c:pt>
                <c:pt idx="1">
                  <c:v>Palmitic</c:v>
                </c:pt>
                <c:pt idx="2">
                  <c:v>Stearic</c:v>
                </c:pt>
                <c:pt idx="3">
                  <c:v>Oleic</c:v>
                </c:pt>
                <c:pt idx="4">
                  <c:v>Linoleic</c:v>
                </c:pt>
                <c:pt idx="5">
                  <c:v>3n3 Linolenic</c:v>
                </c:pt>
                <c:pt idx="6">
                  <c:v>Other (&lt;1%)</c:v>
                </c:pt>
              </c:strCache>
            </c:strRef>
          </c:cat>
          <c:val>
            <c:numRef>
              <c:f>(FAME!$I$82,FAME!$R$82,FAME!$V$82,FAME!$X$82,FAME!$Z$82,FAME!$AD$82,FAME!$AR$82)</c:f>
              <c:numCache>
                <c:formatCode>0.00</c:formatCode>
                <c:ptCount val="7"/>
                <c:pt idx="0">
                  <c:v>20.609238898125028</c:v>
                </c:pt>
                <c:pt idx="1">
                  <c:v>12.939093611588467</c:v>
                </c:pt>
                <c:pt idx="2" formatCode="General">
                  <c:v>5.9836223962264334</c:v>
                </c:pt>
                <c:pt idx="3" formatCode="General">
                  <c:v>23.951118518744412</c:v>
                </c:pt>
                <c:pt idx="4" formatCode="General">
                  <c:v>27.385530392593594</c:v>
                </c:pt>
                <c:pt idx="5" formatCode="General">
                  <c:v>3.4345997364612919</c:v>
                </c:pt>
                <c:pt idx="6">
                  <c:v>6.4006298606668972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A6E-5549-B4CD-F5379A828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Vitamin</a:t>
            </a:r>
            <a:r>
              <a:rPr lang="en-US" baseline="0"/>
              <a:t> D </a:t>
            </a:r>
            <a:r>
              <a:rPr lang="en-US"/>
              <a:t>% of legal max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'Vitamin D (per100gDM)'!$F$6</c:f>
              <c:strCache>
                <c:ptCount val="1"/>
                <c:pt idx="0">
                  <c:v>% of legal max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C3D-664C-BB04-A55B915A016F}"/>
              </c:ext>
            </c:extLst>
          </c:dPt>
          <c:dPt>
            <c:idx val="2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C3D-664C-BB04-A55B915A016F}"/>
              </c:ext>
            </c:extLst>
          </c:dPt>
          <c:dPt>
            <c:idx val="2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C3D-664C-BB04-A55B915A016F}"/>
              </c:ext>
            </c:extLst>
          </c:dPt>
          <c:dPt>
            <c:idx val="2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C3D-664C-BB04-A55B915A016F}"/>
              </c:ext>
            </c:extLst>
          </c:dPt>
          <c:dPt>
            <c:idx val="2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C3D-664C-BB04-A55B915A016F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C3D-664C-BB04-A55B915A016F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C3D-664C-BB04-A55B915A016F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C3D-664C-BB04-A55B915A016F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C3D-664C-BB04-A55B915A016F}"/>
              </c:ext>
            </c:extLst>
          </c:dPt>
          <c:dPt>
            <c:idx val="28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C3D-664C-BB04-A55B915A016F}"/>
              </c:ext>
            </c:extLst>
          </c:dPt>
          <c:cat>
            <c:strRef>
              <c:f>'Vitamin D (per100gDM)'!$A$7:$A$36</c:f>
              <c:strCache>
                <c:ptCount val="29"/>
                <c:pt idx="0">
                  <c:v>S#265</c:v>
                </c:pt>
                <c:pt idx="1">
                  <c:v>S#266</c:v>
                </c:pt>
                <c:pt idx="2">
                  <c:v>S#267</c:v>
                </c:pt>
                <c:pt idx="3">
                  <c:v>S#268</c:v>
                </c:pt>
                <c:pt idx="4">
                  <c:v>S#269</c:v>
                </c:pt>
                <c:pt idx="5">
                  <c:v>S#270</c:v>
                </c:pt>
                <c:pt idx="6">
                  <c:v>S#271</c:v>
                </c:pt>
                <c:pt idx="7">
                  <c:v>S#272</c:v>
                </c:pt>
                <c:pt idx="8">
                  <c:v>S#273</c:v>
                </c:pt>
                <c:pt idx="9">
                  <c:v>S#292</c:v>
                </c:pt>
                <c:pt idx="10">
                  <c:v>S#293</c:v>
                </c:pt>
                <c:pt idx="11">
                  <c:v>S#294</c:v>
                </c:pt>
                <c:pt idx="12">
                  <c:v>S#274</c:v>
                </c:pt>
                <c:pt idx="13">
                  <c:v>S#275</c:v>
                </c:pt>
                <c:pt idx="14">
                  <c:v>S#276</c:v>
                </c:pt>
                <c:pt idx="15">
                  <c:v>S#277</c:v>
                </c:pt>
                <c:pt idx="16">
                  <c:v>S#278</c:v>
                </c:pt>
                <c:pt idx="17">
                  <c:v>S#291</c:v>
                </c:pt>
                <c:pt idx="18">
                  <c:v>S#286</c:v>
                </c:pt>
                <c:pt idx="19">
                  <c:v>S#279</c:v>
                </c:pt>
                <c:pt idx="20">
                  <c:v>S#280</c:v>
                </c:pt>
                <c:pt idx="21">
                  <c:v>S#281</c:v>
                </c:pt>
                <c:pt idx="22">
                  <c:v>S#282</c:v>
                </c:pt>
                <c:pt idx="23">
                  <c:v>S#283</c:v>
                </c:pt>
                <c:pt idx="24">
                  <c:v>S#284</c:v>
                </c:pt>
                <c:pt idx="25">
                  <c:v>S#285</c:v>
                </c:pt>
                <c:pt idx="26">
                  <c:v>S#288</c:v>
                </c:pt>
                <c:pt idx="27">
                  <c:v>S#289</c:v>
                </c:pt>
                <c:pt idx="28">
                  <c:v>S#290</c:v>
                </c:pt>
              </c:strCache>
            </c:strRef>
          </c:cat>
          <c:val>
            <c:numRef>
              <c:f>'Vitamin D (per100gDM)'!$F$7:$F$36</c:f>
              <c:numCache>
                <c:formatCode>0.0</c:formatCode>
                <c:ptCount val="29"/>
                <c:pt idx="0">
                  <c:v>76.057268722466958</c:v>
                </c:pt>
                <c:pt idx="1">
                  <c:v>77.035242290748897</c:v>
                </c:pt>
                <c:pt idx="2">
                  <c:v>105.46255506607929</c:v>
                </c:pt>
                <c:pt idx="3">
                  <c:v>67.845814977973561</c:v>
                </c:pt>
                <c:pt idx="4">
                  <c:v>42.101321585903086</c:v>
                </c:pt>
                <c:pt idx="5">
                  <c:v>57.76211453744493</c:v>
                </c:pt>
                <c:pt idx="6">
                  <c:v>70.348017621145374</c:v>
                </c:pt>
                <c:pt idx="7">
                  <c:v>35.29955947136564</c:v>
                </c:pt>
                <c:pt idx="8">
                  <c:v>42.453744493392072</c:v>
                </c:pt>
                <c:pt idx="9">
                  <c:v>85.229074889867846</c:v>
                </c:pt>
                <c:pt idx="10">
                  <c:v>102.40088105726872</c:v>
                </c:pt>
                <c:pt idx="11">
                  <c:v>63.973568281938334</c:v>
                </c:pt>
                <c:pt idx="12">
                  <c:v>41.748898678414101</c:v>
                </c:pt>
                <c:pt idx="13">
                  <c:v>52.903083700440533</c:v>
                </c:pt>
                <c:pt idx="14">
                  <c:v>77.894273127753308</c:v>
                </c:pt>
                <c:pt idx="15">
                  <c:v>120</c:v>
                </c:pt>
                <c:pt idx="16">
                  <c:v>84.995594713656402</c:v>
                </c:pt>
                <c:pt idx="17">
                  <c:v>22.854625550660788</c:v>
                </c:pt>
                <c:pt idx="18">
                  <c:v>42.436123348017617</c:v>
                </c:pt>
                <c:pt idx="19">
                  <c:v>56.374449339207054</c:v>
                </c:pt>
                <c:pt idx="20">
                  <c:v>49.616740088105729</c:v>
                </c:pt>
                <c:pt idx="21">
                  <c:v>77.93832599118943</c:v>
                </c:pt>
                <c:pt idx="22">
                  <c:v>45.251101321585907</c:v>
                </c:pt>
                <c:pt idx="23">
                  <c:v>29.841409691629956</c:v>
                </c:pt>
                <c:pt idx="24">
                  <c:v>46.330396475770932</c:v>
                </c:pt>
                <c:pt idx="25">
                  <c:v>61.493392070484589</c:v>
                </c:pt>
                <c:pt idx="26">
                  <c:v>55.986784140969171</c:v>
                </c:pt>
                <c:pt idx="27">
                  <c:v>92.58590308370043</c:v>
                </c:pt>
                <c:pt idx="28">
                  <c:v>53.889867841409689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3D-664C-BB04-A55B915A0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97057120"/>
        <c:axId val="1598716640"/>
      </c:barChart>
      <c:catAx>
        <c:axId val="1597057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8716640"/>
        <c:crosses val="autoZero"/>
        <c:auto val="1"/>
        <c:lblAlgn val="ctr"/>
        <c:lblOffset val="100"/>
        <c:noMultiLvlLbl val="0"/>
      </c:catAx>
      <c:valAx>
        <c:axId val="1598716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7057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136-2C48-90C3-08F1C5C4F5E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136-2C48-90C3-08F1C5C4F5E4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9136-2C48-90C3-08F1C5C4F5E4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136-2C48-90C3-08F1C5C4F5E4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136-2C48-90C3-08F1C5C4F5E4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073-A242-8E98-C4ABF39C60E5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073-A242-8E98-C4ABF39C60E5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073-A242-8E98-C4ABF39C60E5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073-A242-8E98-C4ABF39C60E5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073-A242-8E98-C4ABF39C60E5}"/>
              </c:ext>
            </c:extLst>
          </c:dPt>
          <c:cat>
            <c:numRef>
              <c:f>('Vitamin D (per100gDM)'!$A$44:$A$46,'Vitamin D (per100gDM)'!$A$50:$A$58,'Vitamin D (per100gDM)'!$A$59,'Vitamin D (per100gDM)'!$A$63:$A$71,'Vitamin D (per100gDM)'!$A$73,'Vitamin D (per100gDM)'!$A$74,'Vitamin D (per100gDM)'!$A$78:$A$81,'Vitamin D (per100gDM)'!$A$85,'Vitamin D (per100gDM)'!$A$86)</c:f>
              <c:numCache>
                <c:formatCode>General</c:formatCode>
                <c:ptCount val="29"/>
                <c:pt idx="0">
                  <c:v>265</c:v>
                </c:pt>
                <c:pt idx="1">
                  <c:v>266</c:v>
                </c:pt>
                <c:pt idx="2">
                  <c:v>267</c:v>
                </c:pt>
                <c:pt idx="3">
                  <c:v>268</c:v>
                </c:pt>
                <c:pt idx="4">
                  <c:v>269</c:v>
                </c:pt>
                <c:pt idx="5">
                  <c:v>270</c:v>
                </c:pt>
                <c:pt idx="6">
                  <c:v>271</c:v>
                </c:pt>
                <c:pt idx="7">
                  <c:v>272</c:v>
                </c:pt>
                <c:pt idx="8">
                  <c:v>273</c:v>
                </c:pt>
                <c:pt idx="9">
                  <c:v>274</c:v>
                </c:pt>
                <c:pt idx="10">
                  <c:v>275</c:v>
                </c:pt>
                <c:pt idx="11">
                  <c:v>276</c:v>
                </c:pt>
                <c:pt idx="12">
                  <c:v>277</c:v>
                </c:pt>
                <c:pt idx="13">
                  <c:v>278</c:v>
                </c:pt>
                <c:pt idx="14">
                  <c:v>279</c:v>
                </c:pt>
                <c:pt idx="15">
                  <c:v>280</c:v>
                </c:pt>
                <c:pt idx="16">
                  <c:v>281</c:v>
                </c:pt>
                <c:pt idx="17">
                  <c:v>282</c:v>
                </c:pt>
                <c:pt idx="18">
                  <c:v>283</c:v>
                </c:pt>
                <c:pt idx="19">
                  <c:v>284</c:v>
                </c:pt>
                <c:pt idx="20">
                  <c:v>285</c:v>
                </c:pt>
                <c:pt idx="21">
                  <c:v>286</c:v>
                </c:pt>
                <c:pt idx="22">
                  <c:v>288</c:v>
                </c:pt>
                <c:pt idx="23">
                  <c:v>289</c:v>
                </c:pt>
                <c:pt idx="24">
                  <c:v>290</c:v>
                </c:pt>
                <c:pt idx="25">
                  <c:v>291</c:v>
                </c:pt>
                <c:pt idx="26">
                  <c:v>292</c:v>
                </c:pt>
                <c:pt idx="27">
                  <c:v>293</c:v>
                </c:pt>
                <c:pt idx="28">
                  <c:v>294</c:v>
                </c:pt>
              </c:numCache>
            </c:numRef>
          </c:cat>
          <c:val>
            <c:numRef>
              <c:f>('Vitamin D (per100gDM)'!$H$44:$H$46,'Vitamin D (per100gDM)'!$H$50:$H$59,'Vitamin D (per100gDM)'!$H$63:$H$71,'Vitamin D (per100gDM)'!$H$73,'Vitamin D (per100gDM)'!$H$74,'Vitamin D (per100gDM)'!$H$78:$H$81,'Vitamin D (per100gDM)'!$H$85,'Vitamin D (per100gDM)'!$H$86)</c:f>
              <c:numCache>
                <c:formatCode>0.0</c:formatCode>
                <c:ptCount val="29"/>
                <c:pt idx="0">
                  <c:v>76.057268722466958</c:v>
                </c:pt>
                <c:pt idx="1">
                  <c:v>77.035242290748897</c:v>
                </c:pt>
                <c:pt idx="2" formatCode="General">
                  <c:v>93.979074889867832</c:v>
                </c:pt>
                <c:pt idx="3">
                  <c:v>67.845814977973561</c:v>
                </c:pt>
                <c:pt idx="4">
                  <c:v>42.101321585903086</c:v>
                </c:pt>
                <c:pt idx="5">
                  <c:v>57.76211453744493</c:v>
                </c:pt>
                <c:pt idx="6">
                  <c:v>70.348017621145374</c:v>
                </c:pt>
                <c:pt idx="7">
                  <c:v>35.29955947136564</c:v>
                </c:pt>
                <c:pt idx="8">
                  <c:v>42.453744493392072</c:v>
                </c:pt>
                <c:pt idx="9">
                  <c:v>41.748898678414101</c:v>
                </c:pt>
                <c:pt idx="10">
                  <c:v>52.903083700440533</c:v>
                </c:pt>
                <c:pt idx="11">
                  <c:v>77.894273127753308</c:v>
                </c:pt>
                <c:pt idx="12" formatCode="General">
                  <c:v>155.32709251101323</c:v>
                </c:pt>
                <c:pt idx="13">
                  <c:v>84.995594713656402</c:v>
                </c:pt>
                <c:pt idx="14">
                  <c:v>56.374449339207054</c:v>
                </c:pt>
                <c:pt idx="15">
                  <c:v>49.616740088105729</c:v>
                </c:pt>
                <c:pt idx="16">
                  <c:v>77.93832599118943</c:v>
                </c:pt>
                <c:pt idx="17">
                  <c:v>45.251101321585907</c:v>
                </c:pt>
                <c:pt idx="18">
                  <c:v>29.841409691629956</c:v>
                </c:pt>
                <c:pt idx="19">
                  <c:v>46.330396475770932</c:v>
                </c:pt>
                <c:pt idx="20">
                  <c:v>61.493392070484589</c:v>
                </c:pt>
                <c:pt idx="21">
                  <c:v>42.436123348017617</c:v>
                </c:pt>
                <c:pt idx="22">
                  <c:v>55.986784140969171</c:v>
                </c:pt>
                <c:pt idx="23" formatCode="General">
                  <c:v>97.863436123348009</c:v>
                </c:pt>
                <c:pt idx="24">
                  <c:v>53.889867841409689</c:v>
                </c:pt>
                <c:pt idx="25">
                  <c:v>22.854625550660788</c:v>
                </c:pt>
                <c:pt idx="26">
                  <c:v>85.229074889867846</c:v>
                </c:pt>
                <c:pt idx="27" formatCode="General">
                  <c:v>80.147577092511014</c:v>
                </c:pt>
                <c:pt idx="28">
                  <c:v>63.973568281938334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073-A242-8E98-C4ABF39C6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1597057120"/>
        <c:axId val="1598716640"/>
      </c:barChart>
      <c:catAx>
        <c:axId val="1597057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8716640"/>
        <c:crosses val="autoZero"/>
        <c:auto val="1"/>
        <c:lblAlgn val="ctr"/>
        <c:lblOffset val="100"/>
        <c:noMultiLvlLbl val="0"/>
      </c:catAx>
      <c:valAx>
        <c:axId val="1598716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7057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Vitamin</a:t>
            </a:r>
            <a:r>
              <a:rPr lang="en-US" baseline="0"/>
              <a:t> D </a:t>
            </a:r>
            <a:r>
              <a:rPr lang="en-US"/>
              <a:t>% of legal max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'Vitamin D (per1000kcal ME)'!$H$6</c:f>
              <c:strCache>
                <c:ptCount val="1"/>
                <c:pt idx="0">
                  <c:v>% of nutritional max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EDD-8848-86C3-B497B8DBD070}"/>
              </c:ext>
            </c:extLst>
          </c:dPt>
          <c:dPt>
            <c:idx val="2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EDD-8848-86C3-B497B8DBD070}"/>
              </c:ext>
            </c:extLst>
          </c:dPt>
          <c:dPt>
            <c:idx val="2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EDD-8848-86C3-B497B8DBD070}"/>
              </c:ext>
            </c:extLst>
          </c:dPt>
          <c:dPt>
            <c:idx val="2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EDD-8848-86C3-B497B8DBD070}"/>
              </c:ext>
            </c:extLst>
          </c:dPt>
          <c:dPt>
            <c:idx val="2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EDD-8848-86C3-B497B8DBD070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EDD-8848-86C3-B497B8DBD070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EDD-8848-86C3-B497B8DBD070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EDD-8848-86C3-B497B8DBD070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EDD-8848-86C3-B497B8DBD070}"/>
              </c:ext>
            </c:extLst>
          </c:dPt>
          <c:dPt>
            <c:idx val="28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EDD-8848-86C3-B497B8DBD070}"/>
              </c:ext>
            </c:extLst>
          </c:dPt>
          <c:cat>
            <c:strRef>
              <c:f>'Vitamin D (per1000kcal ME)'!$A$7:$A$36</c:f>
              <c:strCache>
                <c:ptCount val="29"/>
                <c:pt idx="0">
                  <c:v>S#265</c:v>
                </c:pt>
                <c:pt idx="1">
                  <c:v>S#266</c:v>
                </c:pt>
                <c:pt idx="2">
                  <c:v>S#267</c:v>
                </c:pt>
                <c:pt idx="3">
                  <c:v>S#268</c:v>
                </c:pt>
                <c:pt idx="4">
                  <c:v>S#269</c:v>
                </c:pt>
                <c:pt idx="5">
                  <c:v>S#270</c:v>
                </c:pt>
                <c:pt idx="6">
                  <c:v>S#271</c:v>
                </c:pt>
                <c:pt idx="7">
                  <c:v>S#272</c:v>
                </c:pt>
                <c:pt idx="8">
                  <c:v>S#273</c:v>
                </c:pt>
                <c:pt idx="9">
                  <c:v>S#292</c:v>
                </c:pt>
                <c:pt idx="10">
                  <c:v>S#293</c:v>
                </c:pt>
                <c:pt idx="11">
                  <c:v>S#294</c:v>
                </c:pt>
                <c:pt idx="12">
                  <c:v>S#274</c:v>
                </c:pt>
                <c:pt idx="13">
                  <c:v>S#275</c:v>
                </c:pt>
                <c:pt idx="14">
                  <c:v>S#276</c:v>
                </c:pt>
                <c:pt idx="15">
                  <c:v>S#277</c:v>
                </c:pt>
                <c:pt idx="16">
                  <c:v>S#278</c:v>
                </c:pt>
                <c:pt idx="17">
                  <c:v>S#291</c:v>
                </c:pt>
                <c:pt idx="18">
                  <c:v>S#286</c:v>
                </c:pt>
                <c:pt idx="19">
                  <c:v>S#279</c:v>
                </c:pt>
                <c:pt idx="20">
                  <c:v>S#280</c:v>
                </c:pt>
                <c:pt idx="21">
                  <c:v>S#281</c:v>
                </c:pt>
                <c:pt idx="22">
                  <c:v>S#282</c:v>
                </c:pt>
                <c:pt idx="23">
                  <c:v>S#283</c:v>
                </c:pt>
                <c:pt idx="24">
                  <c:v>S#284</c:v>
                </c:pt>
                <c:pt idx="25">
                  <c:v>S#285</c:v>
                </c:pt>
                <c:pt idx="26">
                  <c:v>S#288</c:v>
                </c:pt>
                <c:pt idx="27">
                  <c:v>S#289</c:v>
                </c:pt>
                <c:pt idx="28">
                  <c:v>S#290</c:v>
                </c:pt>
              </c:strCache>
            </c:strRef>
          </c:cat>
          <c:val>
            <c:numRef>
              <c:f>'Vitamin D (per1000kcal ME)'!$H$7:$H$36</c:f>
              <c:numCache>
                <c:formatCode>0.0</c:formatCode>
                <c:ptCount val="29"/>
                <c:pt idx="0">
                  <c:v>55.345298401139772</c:v>
                </c:pt>
                <c:pt idx="1">
                  <c:v>60.629344587884802</c:v>
                </c:pt>
                <c:pt idx="2">
                  <c:v>75.88994990607388</c:v>
                </c:pt>
                <c:pt idx="3">
                  <c:v>49.682228027973807</c:v>
                </c:pt>
                <c:pt idx="4">
                  <c:v>30.728683709114009</c:v>
                </c:pt>
                <c:pt idx="5">
                  <c:v>43.958478196086226</c:v>
                </c:pt>
                <c:pt idx="6">
                  <c:v>51.280090390104661</c:v>
                </c:pt>
                <c:pt idx="7">
                  <c:v>26.624538518336198</c:v>
                </c:pt>
                <c:pt idx="8">
                  <c:v>34.057460732984289</c:v>
                </c:pt>
                <c:pt idx="9">
                  <c:v>68.872925602981496</c:v>
                </c:pt>
                <c:pt idx="10">
                  <c:v>82.667939936775554</c:v>
                </c:pt>
                <c:pt idx="11">
                  <c:v>51.361540476814241</c:v>
                </c:pt>
                <c:pt idx="12">
                  <c:v>29.996131482697187</c:v>
                </c:pt>
                <c:pt idx="13">
                  <c:v>42.984047724259831</c:v>
                </c:pt>
                <c:pt idx="14">
                  <c:v>57.595627975807481</c:v>
                </c:pt>
                <c:pt idx="15">
                  <c:v>98.247395137590161</c:v>
                </c:pt>
                <c:pt idx="16">
                  <c:v>67.258306076777416</c:v>
                </c:pt>
                <c:pt idx="17">
                  <c:v>18.549836673435152</c:v>
                </c:pt>
                <c:pt idx="18">
                  <c:v>31.876501348149361</c:v>
                </c:pt>
                <c:pt idx="19">
                  <c:v>38.176064596238007</c:v>
                </c:pt>
                <c:pt idx="20">
                  <c:v>33.675214963049058</c:v>
                </c:pt>
                <c:pt idx="21">
                  <c:v>51.812703888422881</c:v>
                </c:pt>
                <c:pt idx="22">
                  <c:v>30.456834953730823</c:v>
                </c:pt>
                <c:pt idx="23">
                  <c:v>21.18673256622133</c:v>
                </c:pt>
                <c:pt idx="24">
                  <c:v>36.080583132856709</c:v>
                </c:pt>
                <c:pt idx="25">
                  <c:v>48.783509172948229</c:v>
                </c:pt>
                <c:pt idx="26">
                  <c:v>43.708747521373084</c:v>
                </c:pt>
                <c:pt idx="27">
                  <c:v>73.689593974547648</c:v>
                </c:pt>
                <c:pt idx="28">
                  <c:v>41.30014171390463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EDD-8848-86C3-B497B8DBD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97057120"/>
        <c:axId val="1598716640"/>
      </c:barChart>
      <c:catAx>
        <c:axId val="1597057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8716640"/>
        <c:crosses val="autoZero"/>
        <c:auto val="1"/>
        <c:lblAlgn val="ctr"/>
        <c:lblOffset val="100"/>
        <c:noMultiLvlLbl val="0"/>
      </c:catAx>
      <c:valAx>
        <c:axId val="1598716640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7057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28575</xdr:colOff>
      <xdr:row>0</xdr:row>
      <xdr:rowOff>142875</xdr:rowOff>
    </xdr:from>
    <xdr:to>
      <xdr:col>25</xdr:col>
      <xdr:colOff>9525</xdr:colOff>
      <xdr:row>17</xdr:row>
      <xdr:rowOff>47625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4EA2A21-8866-7046-AA2A-DD152C02AFEA}"/>
            </a:ext>
          </a:extLst>
        </xdr:cNvPr>
        <xdr:cNvSpPr txBox="1"/>
      </xdr:nvSpPr>
      <xdr:spPr>
        <a:xfrm>
          <a:off x="18592800" y="142875"/>
          <a:ext cx="5086350" cy="3429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Key</a:t>
          </a:r>
          <a:r>
            <a:rPr lang="en-GB" sz="1100" b="1" baseline="0"/>
            <a:t> (DOG)</a:t>
          </a:r>
          <a:endParaRPr lang="en-GB" sz="1100" b="1"/>
        </a:p>
        <a:p>
          <a:r>
            <a:rPr lang="en-GB" sz="1100"/>
            <a:t>Pet foods were analysed and compared against FEDIAF guidelines</a:t>
          </a:r>
          <a:r>
            <a:rPr lang="en-GB" sz="1100" baseline="0"/>
            <a:t> </a:t>
          </a:r>
          <a:r>
            <a:rPr lang="en-GB" sz="1100"/>
            <a:t>for dogs (units [gs or mgs] per 100g dry</a:t>
          </a:r>
          <a:r>
            <a:rPr lang="en-GB" sz="1100" baseline="0"/>
            <a:t> matter (</a:t>
          </a:r>
          <a:r>
            <a:rPr lang="en-GB" sz="1100"/>
            <a:t>DM)</a:t>
          </a:r>
          <a:r>
            <a:rPr lang="en-GB" sz="1100" baseline="0"/>
            <a:t>, based on adult MER of 110kcal/kg</a:t>
          </a:r>
          <a:r>
            <a:rPr lang="en-GB" sz="1100"/>
            <a:t>.</a:t>
          </a:r>
          <a:r>
            <a:rPr lang="en-GB" sz="1100" baseline="0"/>
            <a:t> Two of the thirteen were not measured `</a:t>
          </a:r>
        </a:p>
        <a:p>
          <a:r>
            <a:rPr lang="en-GB" sz="1100" baseline="0"/>
            <a:t>		Min (adult) 	Max (N) 	Max (L)		</a:t>
          </a:r>
        </a:p>
        <a:p>
          <a:r>
            <a:rPr lang="en-GB" sz="1100" baseline="0"/>
            <a:t>FEDIAF 1: Calcium (g)	0.50	2.50</a:t>
          </a:r>
        </a:p>
        <a:p>
          <a:r>
            <a:rPr lang="en-GB" sz="1100" baseline="0"/>
            <a:t>FEDIAF 2: Phosphorus (g)	0.40	1.60	</a:t>
          </a:r>
        </a:p>
        <a:p>
          <a:r>
            <a:rPr lang="en-GB" sz="1100" baseline="0"/>
            <a:t>FEDIAF 3: Ca/P ratio (1:1)	1:1	2:1	</a:t>
          </a:r>
        </a:p>
        <a:p>
          <a:r>
            <a:rPr lang="en-GB" sz="1100" baseline="0"/>
            <a:t>FEDIAF 4: Potassium (g)	0.50	</a:t>
          </a:r>
        </a:p>
        <a:p>
          <a:r>
            <a:rPr lang="en-GB" sz="1100" baseline="0"/>
            <a:t>FEDIAF 5: Sodium (g)	0.10		</a:t>
          </a:r>
        </a:p>
        <a:p>
          <a:r>
            <a:rPr lang="en-GB" sz="1100" baseline="0"/>
            <a:t>FEDIAF 6: Chloride (g)	0.15		</a:t>
          </a:r>
        </a:p>
        <a:p>
          <a:r>
            <a:rPr lang="en-GB" sz="1100" baseline="0"/>
            <a:t>FEDIAF 7: Magnesium (g)	0.07	</a:t>
          </a:r>
        </a:p>
        <a:p>
          <a:r>
            <a:rPr lang="en-GB" sz="1100" baseline="0"/>
            <a:t>FEDIAF 8: Copper (mg)	0.72		2.80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/>
            <a:t>FEDIAF 9: Iodine (mg) 	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0.11		1.10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FEDIAF 10: Iron (mg)	3.60		68.18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FEDIAF 11: Manganese (mg)	0.58		17.00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FEDIAF 12: Selenium (ug)	18.00		56.80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FEDIAF 13: Zinc (mg)	7.20		22.70</a:t>
          </a:r>
          <a:endParaRPr lang="en-GB">
            <a:effectLst/>
          </a:endParaRPr>
        </a:p>
        <a:p>
          <a:endParaRPr lang="en-GB" sz="1100" baseline="0"/>
        </a:p>
        <a:p>
          <a:endParaRPr lang="en-GB" sz="1100"/>
        </a:p>
        <a:p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600820</xdr:colOff>
      <xdr:row>2</xdr:row>
      <xdr:rowOff>171842</xdr:rowOff>
    </xdr:from>
    <xdr:to>
      <xdr:col>25</xdr:col>
      <xdr:colOff>812800</xdr:colOff>
      <xdr:row>26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4958D5D-5BC7-2F45-A317-BDB6D1A26C03}"/>
            </a:ext>
          </a:extLst>
        </xdr:cNvPr>
        <xdr:cNvSpPr txBox="1"/>
      </xdr:nvSpPr>
      <xdr:spPr>
        <a:xfrm>
          <a:off x="22914720" y="832242"/>
          <a:ext cx="6917580" cy="55177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Key</a:t>
          </a:r>
          <a:r>
            <a:rPr lang="en-GB" sz="1100" b="1" baseline="0"/>
            <a:t> (DOG)</a:t>
          </a:r>
          <a:endParaRPr lang="en-GB" sz="1100" b="1"/>
        </a:p>
        <a:p>
          <a:r>
            <a:rPr lang="en-GB" sz="1100"/>
            <a:t>Pet foods were analysed and compared against FEDIAF guidelines</a:t>
          </a:r>
          <a:r>
            <a:rPr lang="en-GB" sz="1100" baseline="0"/>
            <a:t> </a:t>
          </a:r>
          <a:r>
            <a:rPr lang="en-GB" sz="1100"/>
            <a:t>for dogs (units [gs or mgs] per 1000</a:t>
          </a:r>
          <a:r>
            <a:rPr lang="en-GB" sz="1100" baseline="0"/>
            <a:t> kcal of metabolisable energy (ME), based on adult MER of 110kcal/kg</a:t>
          </a:r>
          <a:r>
            <a:rPr lang="en-GB" sz="1100"/>
            <a:t>).</a:t>
          </a:r>
          <a:r>
            <a:rPr lang="en-GB" sz="1100" baseline="0"/>
            <a:t> </a:t>
          </a:r>
        </a:p>
        <a:p>
          <a:r>
            <a:rPr lang="en-GB" sz="1100" baseline="0"/>
            <a:t>		Min (adult) 	Max (N) 	Max (L)		</a:t>
          </a:r>
        </a:p>
        <a:p>
          <a:r>
            <a:rPr lang="en-GB" sz="1100" baseline="0"/>
            <a:t>FEDIAF 1: Calcium (g)	1.25	6.25</a:t>
          </a:r>
        </a:p>
        <a:p>
          <a:r>
            <a:rPr lang="en-GB" sz="1100" baseline="0"/>
            <a:t>FEDIAF 2: Phosphorus (g)	1.00	4.00	</a:t>
          </a:r>
        </a:p>
        <a:p>
          <a:r>
            <a:rPr lang="en-GB" sz="1100" baseline="0"/>
            <a:t>FEDIAF 3: Ca/P ratio (1:1)	1:1	2:1	</a:t>
          </a:r>
        </a:p>
        <a:p>
          <a:r>
            <a:rPr lang="en-GB" sz="1100" baseline="0"/>
            <a:t>FEDIAF 4: Potassium (g)	1.25	</a:t>
          </a:r>
        </a:p>
        <a:p>
          <a:r>
            <a:rPr lang="en-GB" sz="1100" baseline="0"/>
            <a:t>FEDIAF 5: Sodium (g)	0.25		</a:t>
          </a:r>
        </a:p>
        <a:p>
          <a:r>
            <a:rPr lang="en-GB" sz="1100" baseline="0"/>
            <a:t>FEDIAF 6: Chloride (g)	0.38		</a:t>
          </a:r>
        </a:p>
        <a:p>
          <a:r>
            <a:rPr lang="en-GB" sz="1100" baseline="0"/>
            <a:t>FEDIAF 7: Magnesium (g)	0.18	</a:t>
          </a:r>
        </a:p>
        <a:p>
          <a:r>
            <a:rPr lang="en-GB" sz="1100" baseline="0"/>
            <a:t>FEDIAF 8: Copper (mg)	1.80		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/>
            <a:t>FEDIAF 9: Iodine (mg) 	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0.26	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FEDIAF 10</a:t>
          </a:r>
          <a:r>
            <a:rPr lang="en-GB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: Iron (mg)	9.00		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FEDIAF 11: Manganese (mg)	1.44		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FEDIAF 12: Selenium (ug)	75.00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FEDIAF 13: Zinc (mg)	18.00		</a:t>
          </a:r>
          <a:endParaRPr lang="en-GB">
            <a:effectLst/>
          </a:endParaRPr>
        </a:p>
        <a:p>
          <a:endParaRPr lang="en-GB" sz="1100" baseline="0"/>
        </a:p>
        <a:p>
          <a:endParaRPr lang="en-GB" sz="1100"/>
        </a:p>
        <a:p>
          <a:endParaRPr lang="en-GB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578416</xdr:colOff>
      <xdr:row>50</xdr:row>
      <xdr:rowOff>37376</xdr:rowOff>
    </xdr:from>
    <xdr:to>
      <xdr:col>59</xdr:col>
      <xdr:colOff>226337</xdr:colOff>
      <xdr:row>78</xdr:row>
      <xdr:rowOff>119926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BCD5F79-2FF2-E743-8350-C016D39603DF}"/>
            </a:ext>
            <a:ext uri="{147F2762-F138-4A5C-976F-8EAC2B608ADB}">
              <a16:predDERef xmlns:a16="http://schemas.microsoft.com/office/drawing/2014/main" pred="{DD3A1F68-156A-6E4F-97D7-517AE4CF4F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59</xdr:col>
      <xdr:colOff>285750</xdr:colOff>
      <xdr:row>50</xdr:row>
      <xdr:rowOff>31152</xdr:rowOff>
    </xdr:from>
    <xdr:to>
      <xdr:col>66</xdr:col>
      <xdr:colOff>495300</xdr:colOff>
      <xdr:row>78</xdr:row>
      <xdr:rowOff>113702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5F314BC-F499-B248-A1C1-426EADB676FC}"/>
            </a:ext>
            <a:ext uri="{147F2762-F138-4A5C-976F-8EAC2B608ADB}">
              <a16:predDERef xmlns:a16="http://schemas.microsoft.com/office/drawing/2014/main" pred="{7BCD5F79-2FF2-E743-8350-C016D39603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66</xdr:col>
      <xdr:colOff>603377</xdr:colOff>
      <xdr:row>50</xdr:row>
      <xdr:rowOff>25148</xdr:rowOff>
    </xdr:from>
    <xdr:to>
      <xdr:col>73</xdr:col>
      <xdr:colOff>754456</xdr:colOff>
      <xdr:row>78</xdr:row>
      <xdr:rowOff>138317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65EBE16-8787-9D48-BF3A-34D5DE256522}"/>
            </a:ext>
            <a:ext uri="{147F2762-F138-4A5C-976F-8EAC2B608ADB}">
              <a16:predDERef xmlns:a16="http://schemas.microsoft.com/office/drawing/2014/main" pred="{95F314BC-F499-B248-A1C1-426EADB676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50800</xdr:rowOff>
    </xdr:from>
    <xdr:to>
      <xdr:col>25</xdr:col>
      <xdr:colOff>342900</xdr:colOff>
      <xdr:row>32</xdr:row>
      <xdr:rowOff>203200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AA9EF3-DC87-52E5-D2DD-76623335F3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38100</xdr:colOff>
      <xdr:row>34</xdr:row>
      <xdr:rowOff>105833</xdr:rowOff>
    </xdr:from>
    <xdr:to>
      <xdr:col>28</xdr:col>
      <xdr:colOff>215900</xdr:colOff>
      <xdr:row>64</xdr:row>
      <xdr:rowOff>182033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A2145F-E2E7-F04D-827C-0ABAEEE0C09F}"/>
            </a:ext>
            <a:ext uri="{147F2762-F138-4A5C-976F-8EAC2B608ADB}">
              <a16:predDERef xmlns:a16="http://schemas.microsoft.com/office/drawing/2014/main" pred="{12AA9EF3-DC87-52E5-D2DD-76623335F3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374755</xdr:colOff>
      <xdr:row>6</xdr:row>
      <xdr:rowOff>175718</xdr:rowOff>
    </xdr:from>
    <xdr:to>
      <xdr:col>25</xdr:col>
      <xdr:colOff>551097</xdr:colOff>
      <xdr:row>28</xdr:row>
      <xdr:rowOff>41639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A054E1-ED83-8440-AB7B-3D2948315F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vid Gardner" id="{669FEA71-6D6C-490B-AE86-079876A05B4D}" userId="S::david.gardner@nottingham.ac.uk::ce08a73f-c68e-465a-a9bb-910a9b18dabd" providerId="AD"/>
  <person displayName="Rebecca Brociek" id="{B4FBCF31-E1C5-4C8B-BD6B-73655FC50BC2}" userId="S::rebecca.brociek@nottingham.ac.uk::016bd24a-af38-4e03-83a3-c1b6392ab4db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V27" dT="2023-03-16T13:19:26.84" personId="{B4FBCF31-E1C5-4C8B-BD6B-73655FC50BC2}" id="{834DC80C-A3E7-4506-AE1E-41F193914FB6}">
    <text>Not analysed on UoN equipment so packaging value used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L52" dT="2023-05-26T11:48:17.73" personId="{B4FBCF31-E1C5-4C8B-BD6B-73655FC50BC2}" id="{6B2337FC-F543-468F-9F8D-730E1142A4CB}">
    <text>FEDIAF min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19" dT="2022-06-30T10:43:22.33" personId="{B4FBCF31-E1C5-4C8B-BD6B-73655FC50BC2}" id="{F89D7092-D0EE-46E9-A320-C65865ECB0E2}">
    <text xml:space="preserve">Why aim for 438 when the minimum requirement is 552? </text>
  </threadedComment>
  <threadedComment ref="C19" dT="2022-06-30T19:59:32.16" personId="{669FEA71-6D6C-490B-AE86-079876A05B4D}" id="{CCAD40DA-DDD5-4475-A827-5DC458C2BDF1}" parentId="{F89D7092-D0EE-46E9-A320-C65865ECB0E2}">
    <text>does it really say that on the packet?</text>
  </threadedComment>
  <threadedComment ref="AH20" dT="2022-06-30T10:43:22.33" personId="{B4FBCF31-E1C5-4C8B-BD6B-73655FC50BC2}" id="{10CDF65A-824B-804C-ABC0-0395D1650FC1}">
    <text xml:space="preserve">Why aim for 438 when the minimum requirement is 552? </text>
  </threadedComment>
  <threadedComment ref="AH20" dT="2022-06-30T19:59:32.16" personId="{669FEA71-6D6C-490B-AE86-079876A05B4D}" id="{0CD0AF29-6BAA-4741-9E2B-09A8C89F72C3}" parentId="{10CDF65A-824B-804C-ABC0-0395D1650FC1}">
    <text>does it really say that on the packet?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L84" dT="2023-01-30T23:05:12.71" personId="{B4FBCF31-E1C5-4C8B-BD6B-73655FC50BC2}" id="{706A7012-4D8E-A64B-8039-7793C1802D3F}">
    <text>units= mg/kg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iovet.co.uk/IAMS-for-Vitality-Adult-Small-Medium-Dog-Food/c41841/" TargetMode="External"/><Relationship Id="rId13" Type="http://schemas.microsoft.com/office/2017/10/relationships/threadedComment" Target="../threadedComments/threadedComment1.xml"/><Relationship Id="rId3" Type="http://schemas.openxmlformats.org/officeDocument/2006/relationships/hyperlink" Target="https://www.viovet.co.uk/Natures-Variety-Selected-Chicken-Dry-Medium-Adult-Dog-Food/c76580/" TargetMode="External"/><Relationship Id="rId7" Type="http://schemas.openxmlformats.org/officeDocument/2006/relationships/hyperlink" Target="https://www.viovet.co.uk/Laughing-Dog-Naturally-Grain-Free-Complete-Adult-Dog-Food-Lamb/c77666/" TargetMode="External"/><Relationship Id="rId12" Type="http://schemas.openxmlformats.org/officeDocument/2006/relationships/comments" Target="../comments2.xml"/><Relationship Id="rId2" Type="http://schemas.openxmlformats.org/officeDocument/2006/relationships/hyperlink" Target="https://www.viovet.co.uk/SPECIFIC-Dechra-CKD-Heart-Kidney-Support-Dry-Dog-Food/c1007/" TargetMode="External"/><Relationship Id="rId1" Type="http://schemas.openxmlformats.org/officeDocument/2006/relationships/hyperlink" Target="https://www.viovet.co.uk/ROYAL-CANIN-Renal-Adult-Dog-Food/c358/" TargetMode="External"/><Relationship Id="rId6" Type="http://schemas.openxmlformats.org/officeDocument/2006/relationships/hyperlink" Target="https://www.viovet.co.uk/Autarky-Adult-Dog-Food/c14890/" TargetMode="External"/><Relationship Id="rId11" Type="http://schemas.openxmlformats.org/officeDocument/2006/relationships/vmlDrawing" Target="../drawings/vmlDrawing2.vml"/><Relationship Id="rId5" Type="http://schemas.openxmlformats.org/officeDocument/2006/relationships/hyperlink" Target="https://www.viovet.co.uk/Lilys-Kitchen-Beef-Dry-Dog-Food-with-Ancient-Grains/c103330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viovet.co.uk/Arden-Grange-Premium-Rich-in-Fresh-Chicken-Rice-Dog-Food/c855/" TargetMode="External"/><Relationship Id="rId9" Type="http://schemas.openxmlformats.org/officeDocument/2006/relationships/hyperlink" Target="https://www.viovet.co.uk/Skinners-Field-Trial-Chicken-Rice-Dog-Food/c5184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iovet.co.uk/IAMS-for-Vitality-Adult-Small-Medium-Dog-Food/c41841/" TargetMode="External"/><Relationship Id="rId3" Type="http://schemas.openxmlformats.org/officeDocument/2006/relationships/hyperlink" Target="https://www.viovet.co.uk/Natures-Variety-Selected-Chicken-Dry-Medium-Adult-Dog-Food/c76580/" TargetMode="External"/><Relationship Id="rId7" Type="http://schemas.openxmlformats.org/officeDocument/2006/relationships/hyperlink" Target="https://www.viovet.co.uk/Laughing-Dog-Naturally-Grain-Free-Complete-Adult-Dog-Food-Lamb/c77666/" TargetMode="External"/><Relationship Id="rId2" Type="http://schemas.openxmlformats.org/officeDocument/2006/relationships/hyperlink" Target="https://www.viovet.co.uk/SPECIFIC-Dechra-CKD-Heart-Kidney-Support-Dry-Dog-Food/c1007/" TargetMode="External"/><Relationship Id="rId1" Type="http://schemas.openxmlformats.org/officeDocument/2006/relationships/hyperlink" Target="https://www.viovet.co.uk/ROYAL-CANIN-Renal-Adult-Dog-Food/c358/" TargetMode="External"/><Relationship Id="rId6" Type="http://schemas.openxmlformats.org/officeDocument/2006/relationships/hyperlink" Target="https://www.viovet.co.uk/Autarky-Adult-Dog-Food/c14890/" TargetMode="External"/><Relationship Id="rId11" Type="http://schemas.openxmlformats.org/officeDocument/2006/relationships/comments" Target="../comments4.xml"/><Relationship Id="rId5" Type="http://schemas.openxmlformats.org/officeDocument/2006/relationships/hyperlink" Target="https://www.viovet.co.uk/Lilys-Kitchen-Beef-Dry-Dog-Food-with-Ancient-Grains/c103330/" TargetMode="External"/><Relationship Id="rId10" Type="http://schemas.openxmlformats.org/officeDocument/2006/relationships/vmlDrawing" Target="../drawings/vmlDrawing4.vml"/><Relationship Id="rId4" Type="http://schemas.openxmlformats.org/officeDocument/2006/relationships/hyperlink" Target="https://www.viovet.co.uk/Arden-Grange-Premium-Rich-in-Fresh-Chicken-Rice-Dog-Food/c855/" TargetMode="External"/><Relationship Id="rId9" Type="http://schemas.openxmlformats.org/officeDocument/2006/relationships/hyperlink" Target="https://www.viovet.co.uk/Skinners-Field-Trial-Chicken-Rice-Dog-Food/c51841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iovet.co.uk/IAMS-for-Vitality-Adult-Small-Medium-Dog-Food/c41841/" TargetMode="External"/><Relationship Id="rId3" Type="http://schemas.openxmlformats.org/officeDocument/2006/relationships/hyperlink" Target="https://www.viovet.co.uk/Natures-Variety-Selected-Chicken-Dry-Medium-Adult-Dog-Food/c76580/" TargetMode="External"/><Relationship Id="rId7" Type="http://schemas.openxmlformats.org/officeDocument/2006/relationships/hyperlink" Target="https://www.viovet.co.uk/Laughing-Dog-Naturally-Grain-Free-Complete-Adult-Dog-Food-Lamb/c77666/" TargetMode="External"/><Relationship Id="rId2" Type="http://schemas.openxmlformats.org/officeDocument/2006/relationships/hyperlink" Target="https://www.viovet.co.uk/SPECIFIC-Dechra-CKD-Heart-Kidney-Support-Dry-Dog-Food/c1007/" TargetMode="External"/><Relationship Id="rId1" Type="http://schemas.openxmlformats.org/officeDocument/2006/relationships/hyperlink" Target="https://www.viovet.co.uk/ROYAL-CANIN-Renal-Adult-Dog-Food/c358/" TargetMode="External"/><Relationship Id="rId6" Type="http://schemas.openxmlformats.org/officeDocument/2006/relationships/hyperlink" Target="https://www.viovet.co.uk/Autarky-Adult-Dog-Food/c14890/" TargetMode="External"/><Relationship Id="rId11" Type="http://schemas.openxmlformats.org/officeDocument/2006/relationships/comments" Target="../comments5.xml"/><Relationship Id="rId5" Type="http://schemas.openxmlformats.org/officeDocument/2006/relationships/hyperlink" Target="https://www.viovet.co.uk/Lilys-Kitchen-Beef-Dry-Dog-Food-with-Ancient-Grains/c103330/" TargetMode="External"/><Relationship Id="rId10" Type="http://schemas.openxmlformats.org/officeDocument/2006/relationships/vmlDrawing" Target="../drawings/vmlDrawing5.vml"/><Relationship Id="rId4" Type="http://schemas.openxmlformats.org/officeDocument/2006/relationships/hyperlink" Target="https://www.viovet.co.uk/Arden-Grange-Premium-Rich-in-Fresh-Chicken-Rice-Dog-Food/c855/" TargetMode="External"/><Relationship Id="rId9" Type="http://schemas.openxmlformats.org/officeDocument/2006/relationships/hyperlink" Target="https://www.viovet.co.uk/Skinners-Field-Trial-Chicken-Rice-Dog-Food/c51841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7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D3EB3-EB71-44BC-B41C-FEDBBDEB283D}">
  <sheetPr>
    <tabColor rgb="FFFFC000"/>
  </sheetPr>
  <dimension ref="A1:AK30"/>
  <sheetViews>
    <sheetView topLeftCell="I1" workbookViewId="0">
      <selection activeCell="E21" sqref="E21"/>
    </sheetView>
  </sheetViews>
  <sheetFormatPr defaultColWidth="8.75" defaultRowHeight="15.75"/>
  <cols>
    <col min="1" max="1" width="13.25" style="7" customWidth="1"/>
    <col min="2" max="2" width="30.75" style="7" customWidth="1"/>
    <col min="3" max="3" width="10.75" style="7"/>
    <col min="4" max="4" width="14.25" style="7" customWidth="1"/>
    <col min="5" max="5" width="20.5" style="7" customWidth="1"/>
    <col min="6" max="6" width="21.75" style="7" customWidth="1"/>
    <col min="7" max="7" width="14.25" style="7" bestFit="1" customWidth="1"/>
    <col min="8" max="8" width="15.25" style="7" bestFit="1" customWidth="1"/>
    <col min="9" max="9" width="18.75" style="7" bestFit="1" customWidth="1"/>
    <col min="10" max="10" width="19" style="7" bestFit="1" customWidth="1"/>
    <col min="11" max="11" width="14.25" style="7" bestFit="1" customWidth="1"/>
    <col min="12" max="12" width="17.75" style="7" bestFit="1" customWidth="1"/>
    <col min="13" max="13" width="15.75" style="7" bestFit="1" customWidth="1"/>
    <col min="14" max="14" width="16.25" style="7" bestFit="1" customWidth="1"/>
    <col min="15" max="15" width="15.25" style="7" bestFit="1" customWidth="1"/>
    <col min="16" max="16" width="17.25" style="7" bestFit="1" customWidth="1"/>
    <col min="17" max="17" width="18" style="7" bestFit="1" customWidth="1"/>
    <col min="18" max="18" width="17.25" style="7" bestFit="1" customWidth="1"/>
    <col min="19" max="19" width="17.75" style="7" bestFit="1" customWidth="1"/>
    <col min="20" max="20" width="18.75" style="7" bestFit="1" customWidth="1"/>
    <col min="21" max="21" width="12.75" style="7" bestFit="1" customWidth="1"/>
    <col min="22" max="23" width="14.25" style="7" bestFit="1" customWidth="1"/>
    <col min="24" max="24" width="15" style="7" bestFit="1" customWidth="1"/>
    <col min="25" max="25" width="12.5" style="7" bestFit="1" customWidth="1"/>
    <col min="26" max="26" width="15.25" style="7" bestFit="1" customWidth="1"/>
    <col min="27" max="28" width="16.75" style="7" bestFit="1" customWidth="1"/>
    <col min="29" max="29" width="17.25" style="7" bestFit="1" customWidth="1"/>
    <col min="30" max="30" width="21.25" style="7" bestFit="1" customWidth="1"/>
    <col min="31" max="31" width="13.75" style="7" bestFit="1" customWidth="1"/>
    <col min="32" max="32" width="16.75" style="7" bestFit="1" customWidth="1"/>
    <col min="33" max="33" width="16" style="7" bestFit="1" customWidth="1"/>
    <col min="34" max="34" width="15.25" style="7" bestFit="1" customWidth="1"/>
    <col min="35" max="35" width="16.25" style="7" bestFit="1" customWidth="1"/>
    <col min="36" max="36" width="12.75" style="7" bestFit="1" customWidth="1"/>
    <col min="37" max="37" width="16.25" style="7" bestFit="1" customWidth="1"/>
  </cols>
  <sheetData>
    <row r="1" spans="1:37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</row>
    <row r="2" spans="1:37">
      <c r="A2" s="66" t="s">
        <v>37</v>
      </c>
      <c r="B2" s="66"/>
      <c r="C2" s="67" t="s">
        <v>38</v>
      </c>
      <c r="D2" s="67" t="s">
        <v>39</v>
      </c>
      <c r="E2" s="67" t="s">
        <v>40</v>
      </c>
      <c r="F2" s="67" t="s">
        <v>41</v>
      </c>
      <c r="G2" s="68">
        <v>5.6131817809433739</v>
      </c>
      <c r="H2" s="68">
        <v>1943.6392813755083</v>
      </c>
      <c r="I2" s="68">
        <v>1376.8791521276553</v>
      </c>
      <c r="J2" s="68">
        <v>8236.1728004979232</v>
      </c>
      <c r="K2" s="68">
        <v>3176.271133564077</v>
      </c>
      <c r="L2" s="68">
        <v>6261.8966096864715</v>
      </c>
      <c r="M2" s="68">
        <v>8102.2229598652993</v>
      </c>
      <c r="N2" s="68">
        <v>3.2545340902649667</v>
      </c>
      <c r="O2" s="68">
        <v>9.4090082835282057E-2</v>
      </c>
      <c r="P2" s="68">
        <v>1.0350082556645195E-2</v>
      </c>
      <c r="Q2" s="68">
        <v>58.40357244619959</v>
      </c>
      <c r="R2" s="68">
        <v>0.74750921424365702</v>
      </c>
      <c r="S2" s="68">
        <v>1.3184805278991873</v>
      </c>
      <c r="T2" s="68">
        <v>119.62328545763579</v>
      </c>
      <c r="U2" s="68">
        <v>222.16534443307233</v>
      </c>
      <c r="V2" s="68">
        <v>0.19862034519364491</v>
      </c>
      <c r="W2" s="68">
        <v>0.76542918371261126</v>
      </c>
      <c r="X2" s="68">
        <v>55.059093711510208</v>
      </c>
      <c r="Y2" s="68">
        <v>356.72426821324336</v>
      </c>
      <c r="Z2" s="68">
        <v>0.1878154666126903</v>
      </c>
      <c r="AA2" s="68">
        <v>0.45474777344867012</v>
      </c>
      <c r="AB2" s="68">
        <v>6.5661589648221348</v>
      </c>
      <c r="AC2" s="68">
        <v>10.434935275497796</v>
      </c>
      <c r="AD2" s="68">
        <v>0.52912821032566115</v>
      </c>
      <c r="AE2" s="68">
        <v>3.7180301651283361E-3</v>
      </c>
      <c r="AF2" s="68">
        <v>8.1604230452102855E-2</v>
      </c>
      <c r="AG2" s="68">
        <v>2.5073386524191856E-2</v>
      </c>
      <c r="AH2" s="68">
        <v>6.765793929584202</v>
      </c>
      <c r="AI2" s="68">
        <v>4.7010555566017083E-3</v>
      </c>
      <c r="AJ2" s="68">
        <v>0.29165803273986401</v>
      </c>
      <c r="AK2" s="68">
        <v>0.52498739595480148</v>
      </c>
    </row>
    <row r="3" spans="1:37" s="73" customFormat="1">
      <c r="A3" s="70" t="s">
        <v>42</v>
      </c>
      <c r="B3" s="70" t="s">
        <v>43</v>
      </c>
      <c r="C3" s="71"/>
      <c r="D3" s="71"/>
      <c r="E3" s="71"/>
      <c r="F3" s="71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</row>
    <row r="4" spans="1:37" s="90" customFormat="1">
      <c r="A4" s="86"/>
      <c r="B4" s="86"/>
      <c r="C4" s="87"/>
      <c r="D4" s="87"/>
      <c r="E4" s="87"/>
      <c r="F4" s="88" t="s">
        <v>44</v>
      </c>
      <c r="G4" s="89">
        <f>((G3/G2)-1)*100</f>
        <v>-100</v>
      </c>
      <c r="H4" s="89">
        <f t="shared" ref="H4:Q4" si="0">((H3/H2)-1)*100</f>
        <v>-100</v>
      </c>
      <c r="I4" s="89">
        <f t="shared" si="0"/>
        <v>-100</v>
      </c>
      <c r="J4" s="89">
        <f t="shared" si="0"/>
        <v>-100</v>
      </c>
      <c r="K4" s="89">
        <f t="shared" si="0"/>
        <v>-100</v>
      </c>
      <c r="L4" s="89">
        <f t="shared" si="0"/>
        <v>-100</v>
      </c>
      <c r="M4" s="89">
        <f t="shared" si="0"/>
        <v>-100</v>
      </c>
      <c r="N4" s="89">
        <f t="shared" si="0"/>
        <v>-100</v>
      </c>
      <c r="O4" s="89">
        <f t="shared" si="0"/>
        <v>-100</v>
      </c>
      <c r="P4" s="89">
        <f t="shared" si="0"/>
        <v>-100</v>
      </c>
      <c r="Q4" s="89">
        <f t="shared" si="0"/>
        <v>-100</v>
      </c>
      <c r="R4" s="89">
        <f>((R3/R2)-1)*100</f>
        <v>-100</v>
      </c>
      <c r="S4" s="89">
        <f t="shared" ref="S4" si="1">((S3/S2)-1)*100</f>
        <v>-100</v>
      </c>
      <c r="T4" s="89">
        <f t="shared" ref="T4" si="2">((T3/T2)-1)*100</f>
        <v>-100</v>
      </c>
      <c r="U4" s="89">
        <f t="shared" ref="U4" si="3">((U3/U2)-1)*100</f>
        <v>-100</v>
      </c>
      <c r="V4" s="89">
        <f t="shared" ref="V4" si="4">((V3/V2)-1)*100</f>
        <v>-100</v>
      </c>
      <c r="W4" s="89">
        <f t="shared" ref="W4" si="5">((W3/W2)-1)*100</f>
        <v>-100</v>
      </c>
      <c r="X4" s="89">
        <f t="shared" ref="X4" si="6">((X3/X2)-1)*100</f>
        <v>-100</v>
      </c>
      <c r="Y4" s="89">
        <f t="shared" ref="Y4" si="7">((Y3/Y2)-1)*100</f>
        <v>-100</v>
      </c>
      <c r="Z4" s="89">
        <f>((Z3/Z2)-1)*100</f>
        <v>-100</v>
      </c>
      <c r="AA4" s="89">
        <f t="shared" ref="AA4" si="8">((AA3/AA2)-1)*100</f>
        <v>-100</v>
      </c>
      <c r="AB4" s="89">
        <f t="shared" ref="AB4" si="9">((AB3/AB2)-1)*100</f>
        <v>-100</v>
      </c>
      <c r="AC4" s="89">
        <f t="shared" ref="AC4" si="10">((AC3/AC2)-1)*100</f>
        <v>-100</v>
      </c>
      <c r="AD4" s="89">
        <f t="shared" ref="AD4" si="11">((AD3/AD2)-1)*100</f>
        <v>-100</v>
      </c>
      <c r="AE4" s="89">
        <f t="shared" ref="AE4" si="12">((AE3/AE2)-1)*100</f>
        <v>-100</v>
      </c>
      <c r="AF4" s="89">
        <f>((AF3/AF2)-1)*100</f>
        <v>-100</v>
      </c>
      <c r="AG4" s="89">
        <f t="shared" ref="AG4" si="13">((AG3/AG2)-1)*100</f>
        <v>-100</v>
      </c>
      <c r="AH4" s="89">
        <f t="shared" ref="AH4" si="14">((AH3/AH2)-1)*100</f>
        <v>-100</v>
      </c>
      <c r="AI4" s="89">
        <f t="shared" ref="AI4" si="15">((AI3/AI2)-1)*100</f>
        <v>-100</v>
      </c>
      <c r="AJ4" s="89">
        <f t="shared" ref="AJ4" si="16">((AJ3/AJ2)-1)*100</f>
        <v>-100</v>
      </c>
      <c r="AK4" s="89">
        <f t="shared" ref="AK4" si="17">((AK3/AK2)-1)*100</f>
        <v>-100</v>
      </c>
    </row>
    <row r="5" spans="1:37" s="102" customFormat="1">
      <c r="A5" s="99" t="s">
        <v>45</v>
      </c>
      <c r="B5" s="99"/>
      <c r="C5" s="100" t="s">
        <v>38</v>
      </c>
      <c r="D5" s="100" t="s">
        <v>46</v>
      </c>
      <c r="E5" s="100" t="s">
        <v>40</v>
      </c>
      <c r="F5" s="100" t="s">
        <v>47</v>
      </c>
      <c r="G5" s="101">
        <v>4.7888467215879853</v>
      </c>
      <c r="H5" s="101">
        <v>3834.433985567136</v>
      </c>
      <c r="I5" s="101">
        <v>1217.3978451386301</v>
      </c>
      <c r="J5" s="101">
        <v>16433.960493650244</v>
      </c>
      <c r="K5" s="101">
        <v>2462.1919548087112</v>
      </c>
      <c r="L5" s="101">
        <v>5527.7976304196382</v>
      </c>
      <c r="M5" s="101">
        <v>24985.226483317459</v>
      </c>
      <c r="N5" s="101">
        <v>8.7071415320552141</v>
      </c>
      <c r="O5" s="101">
        <v>0.30415211362707295</v>
      </c>
      <c r="P5" s="101">
        <v>9.3996011082447956E-3</v>
      </c>
      <c r="Q5" s="101">
        <v>231.17761006082114</v>
      </c>
      <c r="R5" s="101">
        <v>0.5582270430604388</v>
      </c>
      <c r="S5" s="101">
        <v>1.7548770358401207</v>
      </c>
      <c r="T5" s="101">
        <v>86.755101220281318</v>
      </c>
      <c r="U5" s="101">
        <v>556.83790100832516</v>
      </c>
      <c r="V5" s="101">
        <v>0.26619761751734783</v>
      </c>
      <c r="W5" s="101">
        <v>1.137057691882466</v>
      </c>
      <c r="X5" s="101">
        <v>14.399408319446785</v>
      </c>
      <c r="Y5" s="101">
        <v>147.70921937743037</v>
      </c>
      <c r="Z5" s="101">
        <v>0.19859246024222243</v>
      </c>
      <c r="AA5" s="101">
        <v>0.30350886245579461</v>
      </c>
      <c r="AB5" s="101">
        <v>4.6796095863597849</v>
      </c>
      <c r="AC5" s="101">
        <v>22.15177444070121</v>
      </c>
      <c r="AD5" s="101">
        <v>0.63678918299988663</v>
      </c>
      <c r="AE5" s="101">
        <v>3.2972771573643372E-3</v>
      </c>
      <c r="AF5" s="101">
        <v>4.3185368905202748E-2</v>
      </c>
      <c r="AG5" s="101">
        <v>3.9548731963323314E-2</v>
      </c>
      <c r="AH5" s="101">
        <v>23.414889774292099</v>
      </c>
      <c r="AI5" s="101">
        <v>5.7440713545554509E-3</v>
      </c>
      <c r="AJ5" s="101">
        <v>0.70282087653680003</v>
      </c>
      <c r="AK5" s="101">
        <v>1.3736607098841894E-2</v>
      </c>
    </row>
    <row r="6" spans="1:37" s="73" customFormat="1">
      <c r="A6" s="70">
        <v>277</v>
      </c>
      <c r="B6" s="70" t="s">
        <v>48</v>
      </c>
      <c r="C6" s="71"/>
      <c r="D6" s="71"/>
      <c r="E6" s="71"/>
      <c r="F6" s="71"/>
      <c r="G6" s="72">
        <v>6.7772677490707265</v>
      </c>
      <c r="H6" s="72">
        <v>4613.9419120389175</v>
      </c>
      <c r="I6" s="72">
        <v>1413.1189424590652</v>
      </c>
      <c r="J6" s="72">
        <v>16006.673689188716</v>
      </c>
      <c r="K6" s="72">
        <v>3284.0336633622228</v>
      </c>
      <c r="L6" s="72">
        <v>9476.2059661383919</v>
      </c>
      <c r="M6" s="72">
        <v>19257.524985449214</v>
      </c>
      <c r="N6" s="72">
        <v>13.221568511357162</v>
      </c>
      <c r="O6" s="72">
        <v>0.62782029579529275</v>
      </c>
      <c r="P6" s="72">
        <v>6.6806250891353725E-2</v>
      </c>
      <c r="Q6" s="72">
        <v>753.96061686569578</v>
      </c>
      <c r="R6" s="72">
        <v>1.1433481298722881</v>
      </c>
      <c r="S6" s="72">
        <v>4.762951077903689</v>
      </c>
      <c r="T6" s="72">
        <v>62.156171641336279</v>
      </c>
      <c r="U6" s="72">
        <v>920.91887651601905</v>
      </c>
      <c r="V6" s="72">
        <v>0.61506689239817414</v>
      </c>
      <c r="W6" s="72">
        <v>2.581503890585453</v>
      </c>
      <c r="X6" s="72">
        <v>25.151801252352932</v>
      </c>
      <c r="Y6" s="72">
        <v>156.36812851406529</v>
      </c>
      <c r="Z6" s="72">
        <v>0.36247750453891131</v>
      </c>
      <c r="AA6" s="72">
        <v>0.45184040041446755</v>
      </c>
      <c r="AB6" s="72">
        <v>8.3655273264247541</v>
      </c>
      <c r="AC6" s="72">
        <v>16.817537404284526</v>
      </c>
      <c r="AD6" s="72">
        <v>0.49525697324113088</v>
      </c>
      <c r="AE6" s="72">
        <v>1.0046273022979691E-2</v>
      </c>
      <c r="AF6" s="72">
        <v>9.7119764078660589E-2</v>
      </c>
      <c r="AG6" s="72">
        <v>0.10157136890814845</v>
      </c>
      <c r="AH6" s="72">
        <v>22.733881763448569</v>
      </c>
      <c r="AI6" s="72">
        <v>1.3451540581245446E-2</v>
      </c>
      <c r="AJ6" s="72">
        <v>0.76059576008452412</v>
      </c>
      <c r="AK6" s="74">
        <v>4.501002966836367E-2</v>
      </c>
    </row>
    <row r="7" spans="1:37" s="90" customFormat="1">
      <c r="A7" s="86"/>
      <c r="B7" s="86"/>
      <c r="C7" s="87"/>
      <c r="D7" s="87"/>
      <c r="E7" s="87"/>
      <c r="F7" s="87" t="s">
        <v>44</v>
      </c>
      <c r="G7" s="110">
        <f>((G6/G5)-1)*100</f>
        <v>41.521918388387661</v>
      </c>
      <c r="H7" s="89">
        <f t="shared" ref="H7" si="18">((H6/H5)-1)*100</f>
        <v>20.329152344410172</v>
      </c>
      <c r="I7" s="89">
        <f t="shared" ref="I7" si="19">((I6/I5)-1)*100</f>
        <v>16.077003758631392</v>
      </c>
      <c r="J7" s="89">
        <f t="shared" ref="J7" si="20">((J6/J5)-1)*100</f>
        <v>-2.6000233152965402</v>
      </c>
      <c r="K7" s="89">
        <f t="shared" ref="K7" si="21">((K6/K5)-1)*100</f>
        <v>33.378458042170031</v>
      </c>
      <c r="L7" s="111">
        <f t="shared" ref="L7" si="22">((L6/L5)-1)*100</f>
        <v>71.428235975762618</v>
      </c>
      <c r="M7" s="89">
        <f t="shared" ref="M7" si="23">((M6/M5)-1)*100</f>
        <v>-22.92435292388728</v>
      </c>
      <c r="N7" s="110">
        <f t="shared" ref="N7" si="24">((N6/N5)-1)*100</f>
        <v>51.847405519735169</v>
      </c>
      <c r="O7" s="110">
        <f t="shared" ref="O7" si="25">((O6/O5)-1)*100</f>
        <v>106.41654871584288</v>
      </c>
      <c r="P7" s="110">
        <f t="shared" ref="P7" si="26">((P6/P5)-1)*100</f>
        <v>610.73495696274904</v>
      </c>
      <c r="Q7" s="112">
        <f t="shared" ref="Q7" si="27">((Q6/Q5)-1)*100</f>
        <v>226.13911730782849</v>
      </c>
      <c r="R7" s="110">
        <f>((R6/R5)-1)*100</f>
        <v>104.81776081716964</v>
      </c>
      <c r="S7" s="110">
        <f t="shared" ref="S7" si="28">((S6/S5)-1)*100</f>
        <v>171.41224032392097</v>
      </c>
      <c r="T7" s="89">
        <f t="shared" ref="T7" si="29">((T6/T5)-1)*100</f>
        <v>-28.354447442214937</v>
      </c>
      <c r="U7" s="112">
        <f t="shared" ref="U7" si="30">((U6/U5)-1)*100</f>
        <v>65.383655611159725</v>
      </c>
      <c r="V7" s="110">
        <f t="shared" ref="V7" si="31">((V6/V5)-1)*100</f>
        <v>131.05649785092118</v>
      </c>
      <c r="W7" s="110">
        <f t="shared" ref="W7" si="32">((W6/W5)-1)*100</f>
        <v>127.0336772720495</v>
      </c>
      <c r="X7" s="112">
        <f t="shared" ref="X7" si="33">((X6/X5)-1)*100</f>
        <v>74.672463578831596</v>
      </c>
      <c r="Y7" s="89">
        <f t="shared" ref="Y7" si="34">((Y6/Y5)-1)*100</f>
        <v>5.8621318108177389</v>
      </c>
      <c r="Z7" s="110">
        <f>((Z6/Z5)-1)*100</f>
        <v>82.523296250421055</v>
      </c>
      <c r="AA7" s="112">
        <f t="shared" ref="AA7" si="35">((AA6/AA5)-1)*100</f>
        <v>48.872226253451537</v>
      </c>
      <c r="AB7" s="110">
        <f t="shared" ref="AB7" si="36">((AB6/AB5)-1)*100</f>
        <v>78.76549682282797</v>
      </c>
      <c r="AC7" s="89">
        <f t="shared" ref="AC7" si="37">((AC6/AC5)-1)*100</f>
        <v>-24.080405164363128</v>
      </c>
      <c r="AD7" s="89">
        <f t="shared" ref="AD7" si="38">((AD6/AD5)-1)*100</f>
        <v>-22.22591299242923</v>
      </c>
      <c r="AE7" s="110">
        <f t="shared" ref="AE7" si="39">((AE6/AE5)-1)*100</f>
        <v>204.68391171005266</v>
      </c>
      <c r="AF7" s="110">
        <f>((AF6/AF5)-1)*100</f>
        <v>124.89043521163508</v>
      </c>
      <c r="AG7" s="110">
        <f t="shared" ref="AG7" si="40">((AG6/AG5)-1)*100</f>
        <v>156.82585475140814</v>
      </c>
      <c r="AH7" s="89">
        <f t="shared" ref="AH7" si="41">((AH6/AH5)-1)*100</f>
        <v>-2.9084399602479882</v>
      </c>
      <c r="AI7" s="110">
        <f t="shared" ref="AI7" si="42">((AI6/AI5)-1)*100</f>
        <v>134.18129321421875</v>
      </c>
      <c r="AJ7" s="89">
        <f t="shared" ref="AJ7" si="43">((AJ6/AJ5)-1)*100</f>
        <v>8.2204279179090243</v>
      </c>
      <c r="AK7" s="110">
        <f t="shared" ref="AK7" si="44">((AK6/AK5)-1)*100</f>
        <v>227.66482541499187</v>
      </c>
    </row>
    <row r="8" spans="1:37" s="102" customFormat="1">
      <c r="A8" s="99" t="s">
        <v>49</v>
      </c>
      <c r="B8" s="99" t="s">
        <v>50</v>
      </c>
      <c r="C8" s="100" t="s">
        <v>38</v>
      </c>
      <c r="D8" s="100" t="s">
        <v>51</v>
      </c>
      <c r="E8" s="100" t="s">
        <v>52</v>
      </c>
      <c r="F8" s="100" t="s">
        <v>53</v>
      </c>
      <c r="G8" s="101">
        <v>3.3473884489676364</v>
      </c>
      <c r="H8" s="101">
        <v>5149.4448591406581</v>
      </c>
      <c r="I8" s="101">
        <v>1135.308976017011</v>
      </c>
      <c r="J8" s="101">
        <v>11526.08399820319</v>
      </c>
      <c r="K8" s="101">
        <v>3943.4388873876514</v>
      </c>
      <c r="L8" s="101">
        <v>7879.9632137440931</v>
      </c>
      <c r="M8" s="101">
        <v>15577.034111645053</v>
      </c>
      <c r="N8" s="101">
        <v>4.6875257526510659</v>
      </c>
      <c r="O8" s="101">
        <v>0.21281313321099365</v>
      </c>
      <c r="P8" s="101">
        <v>3.4691858445462949E-3</v>
      </c>
      <c r="Q8" s="101">
        <v>77.756604846948747</v>
      </c>
      <c r="R8" s="101">
        <v>0.13446043403418712</v>
      </c>
      <c r="S8" s="101">
        <v>1.1819329631763413</v>
      </c>
      <c r="T8" s="101">
        <v>50.1963957638322</v>
      </c>
      <c r="U8" s="101">
        <v>369.0068308360319</v>
      </c>
      <c r="V8" s="101">
        <v>0.15233639840396906</v>
      </c>
      <c r="W8" s="101">
        <v>0.40931416306885193</v>
      </c>
      <c r="X8" s="101">
        <v>15.727080902477589</v>
      </c>
      <c r="Y8" s="101">
        <v>180.01600188841203</v>
      </c>
      <c r="Z8" s="101">
        <v>9.7826719275876592E-2</v>
      </c>
      <c r="AA8" s="101">
        <v>0.25599885360493974</v>
      </c>
      <c r="AB8" s="101">
        <v>5.1139936280604914</v>
      </c>
      <c r="AC8" s="101">
        <v>12.292730466259719</v>
      </c>
      <c r="AD8" s="101">
        <v>0.27121972368911074</v>
      </c>
      <c r="AE8" s="101">
        <v>3.2972771573643372E-3</v>
      </c>
      <c r="AF8" s="101">
        <v>4.4149341520176952E-2</v>
      </c>
      <c r="AG8" s="101">
        <v>2.3176656568309348E-2</v>
      </c>
      <c r="AH8" s="101">
        <v>3.0896962596714901</v>
      </c>
      <c r="AI8" s="101">
        <v>5.2782256768517562E-3</v>
      </c>
      <c r="AJ8" s="101">
        <v>0.15631981336448053</v>
      </c>
      <c r="AK8" s="101">
        <v>1.9371561451995322E-2</v>
      </c>
    </row>
    <row r="9" spans="1:37" s="73" customFormat="1">
      <c r="A9" s="70">
        <v>268</v>
      </c>
      <c r="B9" s="70" t="s">
        <v>54</v>
      </c>
      <c r="C9" s="71"/>
      <c r="D9" s="71"/>
      <c r="E9" s="71"/>
      <c r="F9" s="71"/>
      <c r="G9" s="72">
        <v>2.358984704702046</v>
      </c>
      <c r="H9" s="72">
        <v>4522.9562500533866</v>
      </c>
      <c r="I9" s="72">
        <v>1129.1479093242065</v>
      </c>
      <c r="J9" s="72">
        <v>12629.801987649551</v>
      </c>
      <c r="K9" s="72">
        <v>3956.4222897257064</v>
      </c>
      <c r="L9" s="72">
        <v>8050.1826747177665</v>
      </c>
      <c r="M9" s="72">
        <v>9731.6414149164739</v>
      </c>
      <c r="N9" s="72">
        <v>2.9629191866117006</v>
      </c>
      <c r="O9" s="72" t="e">
        <v>#VALUE!</v>
      </c>
      <c r="P9" s="72" t="e">
        <v>#VALUE!</v>
      </c>
      <c r="Q9" s="72">
        <v>23.860601307590045</v>
      </c>
      <c r="R9" s="72">
        <v>6.1967255645261933E-2</v>
      </c>
      <c r="S9" s="72">
        <v>0.47205628078417305</v>
      </c>
      <c r="T9" s="72">
        <v>49.341084509647686</v>
      </c>
      <c r="U9" s="72">
        <v>168.10858204964271</v>
      </c>
      <c r="V9" s="72">
        <v>7.4573550745528502E-2</v>
      </c>
      <c r="W9" s="72">
        <v>0.50024317118449446</v>
      </c>
      <c r="X9" s="72">
        <v>17.367843818349399</v>
      </c>
      <c r="Y9" s="72">
        <v>137.52641979599809</v>
      </c>
      <c r="Z9" s="72">
        <v>5.4699355181328707E-2</v>
      </c>
      <c r="AA9" s="72">
        <v>0.36465887731572161</v>
      </c>
      <c r="AB9" s="72">
        <v>7.328604679367964</v>
      </c>
      <c r="AC9" s="72">
        <v>7.7414930292614734</v>
      </c>
      <c r="AD9" s="72">
        <v>0.32020013161704158</v>
      </c>
      <c r="AE9" s="72">
        <v>6.7556325340014333E-4</v>
      </c>
      <c r="AF9" s="72">
        <v>4.4160093679545508E-2</v>
      </c>
      <c r="AG9" s="72">
        <v>2.0418855669175361E-2</v>
      </c>
      <c r="AH9" s="72">
        <v>3.6376721092809672</v>
      </c>
      <c r="AI9" s="72">
        <v>2.8766997572043217E-3</v>
      </c>
      <c r="AJ9" s="72">
        <v>3.9583869040318298E-2</v>
      </c>
      <c r="AK9" s="72">
        <v>2.0100226643877117E-2</v>
      </c>
    </row>
    <row r="10" spans="1:37" s="90" customFormat="1">
      <c r="A10" s="86"/>
      <c r="B10" s="86"/>
      <c r="C10" s="87"/>
      <c r="D10" s="87"/>
      <c r="E10" s="87"/>
      <c r="F10" s="87" t="s">
        <v>44</v>
      </c>
      <c r="G10" s="89">
        <f>((G9/G8)-1)*100</f>
        <v>-29.527608143907614</v>
      </c>
      <c r="H10" s="89">
        <f t="shared" ref="H10" si="45">((H9/H8)-1)*100</f>
        <v>-12.166138801840088</v>
      </c>
      <c r="I10" s="89">
        <f t="shared" ref="I10" si="46">((I9/I8)-1)*100</f>
        <v>-0.54267752858074836</v>
      </c>
      <c r="J10" s="89">
        <f t="shared" ref="J10" si="47">((J9/J8)-1)*100</f>
        <v>9.5758280923375239</v>
      </c>
      <c r="K10" s="89">
        <f t="shared" ref="K10" si="48">((K9/K8)-1)*100</f>
        <v>0.32924061228842838</v>
      </c>
      <c r="L10" s="89">
        <f t="shared" ref="L10" si="49">((L9/L8)-1)*100</f>
        <v>2.16015552809663</v>
      </c>
      <c r="M10" s="112">
        <f t="shared" ref="M10" si="50">((M9/M8)-1)*100</f>
        <v>-37.525710317079486</v>
      </c>
      <c r="N10" s="110">
        <f t="shared" ref="N10" si="51">((N9/N8)-1)*100</f>
        <v>-36.791404613916001</v>
      </c>
      <c r="O10" s="89" t="e">
        <f t="shared" ref="O10" si="52">((O9/O8)-1)*100</f>
        <v>#VALUE!</v>
      </c>
      <c r="P10" s="89" t="e">
        <f t="shared" ref="P10" si="53">((P9/P8)-1)*100</f>
        <v>#VALUE!</v>
      </c>
      <c r="Q10" s="112">
        <f t="shared" ref="Q10" si="54">((Q9/Q8)-1)*100</f>
        <v>-69.313730512596621</v>
      </c>
      <c r="R10" s="110">
        <f>((R9/R8)-1)*100</f>
        <v>-53.914133856278859</v>
      </c>
      <c r="S10" s="110">
        <f t="shared" ref="S10" si="55">((S9/S8)-1)*100</f>
        <v>-60.060655257844473</v>
      </c>
      <c r="T10" s="89">
        <f t="shared" ref="T10" si="56">((T9/T8)-1)*100</f>
        <v>-1.7039296171953211</v>
      </c>
      <c r="U10" s="112">
        <f t="shared" ref="U10" si="57">((U9/U8)-1)*100</f>
        <v>-54.442962026266194</v>
      </c>
      <c r="V10" s="110">
        <f t="shared" ref="V10" si="58">((V9/V8)-1)*100</f>
        <v>-51.046794116943282</v>
      </c>
      <c r="W10" s="89">
        <f t="shared" ref="W10" si="59">((W9/W8)-1)*100</f>
        <v>22.214967455291081</v>
      </c>
      <c r="X10" s="89">
        <f t="shared" ref="X10" si="60">((X9/X8)-1)*100</f>
        <v>10.432723822342215</v>
      </c>
      <c r="Y10" s="89">
        <f t="shared" ref="Y10" si="61">((Y9/Y8)-1)*100</f>
        <v>-23.603225072597876</v>
      </c>
      <c r="Z10" s="110">
        <f>((Z9/Z8)-1)*100</f>
        <v>-44.085465007700407</v>
      </c>
      <c r="AA10" s="112">
        <f t="shared" ref="AA10" si="62">((AA9/AA8)-1)*100</f>
        <v>42.445511837512839</v>
      </c>
      <c r="AB10" s="110">
        <f t="shared" ref="AB10" si="63">((AB9/AB8)-1)*100</f>
        <v>43.304923947419447</v>
      </c>
      <c r="AC10" s="110">
        <f t="shared" ref="AC10" si="64">((AC9/AC8)-1)*100</f>
        <v>-37.023812158659005</v>
      </c>
      <c r="AD10" s="89">
        <f t="shared" ref="AD10" si="65">((AD9/AD8)-1)*100</f>
        <v>18.059308984502653</v>
      </c>
      <c r="AE10" s="110">
        <f t="shared" ref="AE10" si="66">((AE9/AE8)-1)*100</f>
        <v>-79.511481105211317</v>
      </c>
      <c r="AF10" s="89">
        <f>((AF9/AF8)-1)*100</f>
        <v>2.4354065085296916E-2</v>
      </c>
      <c r="AG10" s="89">
        <f t="shared" ref="AG10" si="67">((AG9/AG8)-1)*100</f>
        <v>-11.899045451210045</v>
      </c>
      <c r="AH10" s="89">
        <f t="shared" ref="AH10" si="68">((AH9/AH8)-1)*100</f>
        <v>17.735589635847894</v>
      </c>
      <c r="AI10" s="110">
        <f t="shared" ref="AI10" si="69">((AI9/AI8)-1)*100</f>
        <v>-45.49873511812109</v>
      </c>
      <c r="AJ10" s="110">
        <f t="shared" ref="AJ10" si="70">((AJ9/AJ8)-1)*100</f>
        <v>-74.677637985644708</v>
      </c>
      <c r="AK10" s="89">
        <f t="shared" ref="AK10" si="71">((AK9/AK8)-1)*100</f>
        <v>3.7615201732059678</v>
      </c>
    </row>
    <row r="11" spans="1:37" s="102" customFormat="1">
      <c r="A11" s="99" t="s">
        <v>55</v>
      </c>
      <c r="B11" s="99"/>
      <c r="C11" s="100" t="s">
        <v>38</v>
      </c>
      <c r="D11" s="100" t="s">
        <v>56</v>
      </c>
      <c r="E11" s="100" t="s">
        <v>40</v>
      </c>
      <c r="F11" s="100" t="s">
        <v>57</v>
      </c>
      <c r="G11" s="101">
        <v>3.471944744084599</v>
      </c>
      <c r="H11" s="101">
        <v>4193.7882103949742</v>
      </c>
      <c r="I11" s="101">
        <v>1629.581812910521</v>
      </c>
      <c r="J11" s="101">
        <v>14711.704154877036</v>
      </c>
      <c r="K11" s="101">
        <v>2151.9302803366932</v>
      </c>
      <c r="L11" s="101">
        <v>5801.4363852460519</v>
      </c>
      <c r="M11" s="101">
        <v>18558.270696452491</v>
      </c>
      <c r="N11" s="101">
        <v>5.757553196622502</v>
      </c>
      <c r="O11" s="101">
        <v>0.12244254940271966</v>
      </c>
      <c r="P11" s="101">
        <v>3.3390445111941935E-3</v>
      </c>
      <c r="Q11" s="101">
        <v>60.663979129614376</v>
      </c>
      <c r="R11" s="101">
        <v>0.20071811963917841</v>
      </c>
      <c r="S11" s="101">
        <v>0.99388840202300588</v>
      </c>
      <c r="T11" s="101">
        <v>76.679222582852361</v>
      </c>
      <c r="U11" s="101">
        <v>998.53354989947945</v>
      </c>
      <c r="V11" s="101">
        <v>0.10364185553377127</v>
      </c>
      <c r="W11" s="101">
        <v>0.58926107799779381</v>
      </c>
      <c r="X11" s="101">
        <v>14.21471140814613</v>
      </c>
      <c r="Y11" s="101">
        <v>144.67044942311591</v>
      </c>
      <c r="Z11" s="101">
        <v>0.11967583287888764</v>
      </c>
      <c r="AA11" s="101">
        <v>0.1913086746636844</v>
      </c>
      <c r="AB11" s="101">
        <v>2.7856963367340226</v>
      </c>
      <c r="AC11" s="101">
        <v>13.647283104441932</v>
      </c>
      <c r="AD11" s="101">
        <v>0.4522439965096402</v>
      </c>
      <c r="AE11" s="101">
        <v>8.9211130517391039E-3</v>
      </c>
      <c r="AF11" s="101">
        <v>6.9890880720044304E-2</v>
      </c>
      <c r="AG11" s="101">
        <v>1.1499397905362549E-2</v>
      </c>
      <c r="AH11" s="101">
        <v>13.211489012221762</v>
      </c>
      <c r="AI11" s="101">
        <v>1.7834586606774395E-3</v>
      </c>
      <c r="AJ11" s="101">
        <v>1.2907981633629002</v>
      </c>
      <c r="AK11" s="101">
        <v>8.5043723840691685E-3</v>
      </c>
    </row>
    <row r="12" spans="1:37" s="73" customFormat="1">
      <c r="A12" s="70" t="s">
        <v>58</v>
      </c>
      <c r="B12" s="70" t="s">
        <v>59</v>
      </c>
      <c r="C12" s="71"/>
      <c r="D12" s="71"/>
      <c r="E12" s="71"/>
      <c r="F12" s="71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</row>
    <row r="13" spans="1:37" s="73" customFormat="1" ht="28.5" hidden="1">
      <c r="A13" s="70" t="s">
        <v>60</v>
      </c>
      <c r="B13" s="70"/>
      <c r="C13" s="71" t="s">
        <v>38</v>
      </c>
      <c r="D13" s="75" t="s">
        <v>61</v>
      </c>
      <c r="E13" s="71" t="s">
        <v>40</v>
      </c>
      <c r="F13" s="71" t="s">
        <v>62</v>
      </c>
      <c r="G13" s="72">
        <v>4.1599845944099174</v>
      </c>
      <c r="H13" s="72">
        <v>2765.8288312612449</v>
      </c>
      <c r="I13" s="72">
        <v>1207.9477923927057</v>
      </c>
      <c r="J13" s="72">
        <v>9462.0192072677564</v>
      </c>
      <c r="K13" s="72">
        <v>3301.7234759363218</v>
      </c>
      <c r="L13" s="72">
        <v>5694.4066405953763</v>
      </c>
      <c r="M13" s="72">
        <v>10215.239050313028</v>
      </c>
      <c r="N13" s="72">
        <v>3.8001984907605246</v>
      </c>
      <c r="O13" s="72">
        <v>0.10729168850668605</v>
      </c>
      <c r="P13" s="72">
        <v>4.2336938907585235E-3</v>
      </c>
      <c r="Q13" s="72">
        <v>60.406063246151099</v>
      </c>
      <c r="R13" s="72">
        <v>0.19034206168579651</v>
      </c>
      <c r="S13" s="72">
        <v>0.60364864371154126</v>
      </c>
      <c r="T13" s="72">
        <v>43.463883323900298</v>
      </c>
      <c r="U13" s="72">
        <v>195.31030950395103</v>
      </c>
      <c r="V13" s="72">
        <v>8.7608210024659461E-2</v>
      </c>
      <c r="W13" s="72">
        <v>0.65380735231714782</v>
      </c>
      <c r="X13" s="72">
        <v>9.1872744634448011</v>
      </c>
      <c r="Y13" s="72">
        <v>146.07539305022158</v>
      </c>
      <c r="Z13" s="72">
        <v>0.35236956834870858</v>
      </c>
      <c r="AA13" s="72">
        <v>0.39243232100324876</v>
      </c>
      <c r="AB13" s="72">
        <v>7.5018952899469813</v>
      </c>
      <c r="AC13" s="72">
        <v>10.380782126811059</v>
      </c>
      <c r="AD13" s="72">
        <v>0.49281618221229462</v>
      </c>
      <c r="AE13" s="72">
        <v>2.5968426855421736E-3</v>
      </c>
      <c r="AF13" s="72">
        <v>6.562321832774419E-2</v>
      </c>
      <c r="AG13" s="72">
        <v>1.8989535824490131E-2</v>
      </c>
      <c r="AH13" s="72">
        <v>3.0865959712167212</v>
      </c>
      <c r="AI13" s="72">
        <v>5.0220048257807346E-3</v>
      </c>
      <c r="AJ13" s="72">
        <v>0.11268992258485777</v>
      </c>
      <c r="AK13" s="72">
        <v>8.6809842791830717E-3</v>
      </c>
    </row>
    <row r="14" spans="1:37" s="73" customFormat="1" hidden="1">
      <c r="A14" s="70" t="s">
        <v>63</v>
      </c>
      <c r="B14" s="70"/>
      <c r="C14" s="71"/>
      <c r="D14" s="75"/>
      <c r="E14" s="71"/>
      <c r="F14" s="71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</row>
    <row r="15" spans="1:37" s="90" customFormat="1">
      <c r="A15" s="86"/>
      <c r="B15" s="86"/>
      <c r="C15" s="87"/>
      <c r="D15" s="91"/>
      <c r="E15" s="87"/>
      <c r="F15" s="87" t="s">
        <v>44</v>
      </c>
      <c r="G15" s="89">
        <f>((G12/G11)-1)*100</f>
        <v>-100</v>
      </c>
      <c r="H15" s="89">
        <f t="shared" ref="H15:AJ15" si="72">((H12/H11)-1)*100</f>
        <v>-100</v>
      </c>
      <c r="I15" s="89">
        <f t="shared" si="72"/>
        <v>-100</v>
      </c>
      <c r="J15" s="89">
        <f t="shared" si="72"/>
        <v>-100</v>
      </c>
      <c r="K15" s="89">
        <f t="shared" si="72"/>
        <v>-100</v>
      </c>
      <c r="L15" s="89">
        <f t="shared" si="72"/>
        <v>-100</v>
      </c>
      <c r="M15" s="89">
        <f t="shared" si="72"/>
        <v>-100</v>
      </c>
      <c r="N15" s="89">
        <f t="shared" si="72"/>
        <v>-100</v>
      </c>
      <c r="O15" s="89">
        <f t="shared" si="72"/>
        <v>-100</v>
      </c>
      <c r="P15" s="89">
        <f t="shared" si="72"/>
        <v>-100</v>
      </c>
      <c r="Q15" s="89">
        <f t="shared" si="72"/>
        <v>-100</v>
      </c>
      <c r="R15" s="89">
        <f t="shared" si="72"/>
        <v>-100</v>
      </c>
      <c r="S15" s="89">
        <f t="shared" si="72"/>
        <v>-100</v>
      </c>
      <c r="T15" s="89">
        <f t="shared" si="72"/>
        <v>-100</v>
      </c>
      <c r="U15" s="89">
        <f t="shared" si="72"/>
        <v>-100</v>
      </c>
      <c r="V15" s="89">
        <f t="shared" si="72"/>
        <v>-100</v>
      </c>
      <c r="W15" s="89">
        <f t="shared" si="72"/>
        <v>-100</v>
      </c>
      <c r="X15" s="89">
        <f t="shared" si="72"/>
        <v>-100</v>
      </c>
      <c r="Y15" s="89">
        <f t="shared" si="72"/>
        <v>-100</v>
      </c>
      <c r="Z15" s="89">
        <f t="shared" si="72"/>
        <v>-100</v>
      </c>
      <c r="AA15" s="89">
        <f t="shared" si="72"/>
        <v>-100</v>
      </c>
      <c r="AB15" s="89">
        <f>((AB12/AB11)-1)*100</f>
        <v>-100</v>
      </c>
      <c r="AC15" s="89">
        <f t="shared" si="72"/>
        <v>-100</v>
      </c>
      <c r="AD15" s="89">
        <f t="shared" si="72"/>
        <v>-100</v>
      </c>
      <c r="AE15" s="89">
        <f t="shared" si="72"/>
        <v>-100</v>
      </c>
      <c r="AF15" s="89">
        <f t="shared" si="72"/>
        <v>-100</v>
      </c>
      <c r="AG15" s="89">
        <f t="shared" si="72"/>
        <v>-100</v>
      </c>
      <c r="AH15" s="89">
        <f t="shared" si="72"/>
        <v>-100</v>
      </c>
      <c r="AI15" s="89">
        <f t="shared" si="72"/>
        <v>-100</v>
      </c>
      <c r="AJ15" s="89">
        <f t="shared" si="72"/>
        <v>-100</v>
      </c>
      <c r="AK15" s="89">
        <f>((AK12/AK11)-1)*100</f>
        <v>-100</v>
      </c>
    </row>
    <row r="16" spans="1:37" s="102" customFormat="1">
      <c r="A16" s="99" t="s">
        <v>64</v>
      </c>
      <c r="B16" s="99"/>
      <c r="C16" s="100" t="s">
        <v>38</v>
      </c>
      <c r="D16" s="100" t="s">
        <v>65</v>
      </c>
      <c r="E16" s="100" t="s">
        <v>66</v>
      </c>
      <c r="F16" s="100" t="s">
        <v>67</v>
      </c>
      <c r="G16" s="101">
        <v>4.9101962516320352</v>
      </c>
      <c r="H16" s="101">
        <v>8783.2063527254541</v>
      </c>
      <c r="I16" s="101">
        <v>1494.8174269638723</v>
      </c>
      <c r="J16" s="101">
        <v>12145.294456460544</v>
      </c>
      <c r="K16" s="101">
        <v>3601.1508561242454</v>
      </c>
      <c r="L16" s="101">
        <v>7286.6324698333083</v>
      </c>
      <c r="M16" s="101">
        <v>13365.908084250266</v>
      </c>
      <c r="N16" s="101">
        <v>8.1105397186620678</v>
      </c>
      <c r="O16" s="101">
        <v>0.10386554935323927</v>
      </c>
      <c r="P16" s="101">
        <v>2.794819952665833E-3</v>
      </c>
      <c r="Q16" s="101">
        <v>49.639786718184638</v>
      </c>
      <c r="R16" s="101">
        <v>0.23699438534218184</v>
      </c>
      <c r="S16" s="101">
        <v>0.42421273990935171</v>
      </c>
      <c r="T16" s="101">
        <v>34.789589128095045</v>
      </c>
      <c r="U16" s="101">
        <v>262.14063004090497</v>
      </c>
      <c r="V16" s="101">
        <v>5.8814621069753263E-2</v>
      </c>
      <c r="W16" s="101">
        <v>0.35181276397678307</v>
      </c>
      <c r="X16" s="101">
        <v>18.180148444795748</v>
      </c>
      <c r="Y16" s="101">
        <v>252.16135272178809</v>
      </c>
      <c r="Z16" s="101">
        <v>4.6178837495492939E-2</v>
      </c>
      <c r="AA16" s="101">
        <v>0.42998320969646242</v>
      </c>
      <c r="AB16" s="101">
        <v>4.9443081591057609</v>
      </c>
      <c r="AC16" s="101">
        <v>9.859284420035392</v>
      </c>
      <c r="AD16" s="101">
        <v>0.75376869718444439</v>
      </c>
      <c r="AE16" s="101">
        <v>1.7040809871543489E-3</v>
      </c>
      <c r="AF16" s="101">
        <v>3.2031419278893337E-2</v>
      </c>
      <c r="AG16" s="101">
        <v>2.1438936479244775E-2</v>
      </c>
      <c r="AH16" s="101">
        <v>6.4569419611481944</v>
      </c>
      <c r="AI16" s="101">
        <v>3.7877116555584782E-3</v>
      </c>
      <c r="AJ16" s="101">
        <v>0.13040764605133265</v>
      </c>
      <c r="AK16" s="101">
        <v>2.1188957149684488E-2</v>
      </c>
    </row>
    <row r="17" spans="1:37" s="73" customFormat="1">
      <c r="A17" s="70">
        <v>273</v>
      </c>
      <c r="B17" s="70" t="s">
        <v>68</v>
      </c>
      <c r="C17" s="71"/>
      <c r="D17" s="71"/>
      <c r="E17" s="71"/>
      <c r="F17" s="71"/>
      <c r="G17" s="72">
        <v>3.6952495657894739</v>
      </c>
      <c r="H17" s="72">
        <v>6554.0250833471473</v>
      </c>
      <c r="I17" s="72">
        <v>1253.2154071908656</v>
      </c>
      <c r="J17" s="72">
        <v>10588.918280068134</v>
      </c>
      <c r="K17" s="72">
        <v>2689.9924958126253</v>
      </c>
      <c r="L17" s="72">
        <v>6159.7476120484653</v>
      </c>
      <c r="M17" s="72">
        <v>14253.477754193898</v>
      </c>
      <c r="N17" s="72">
        <v>1.3915261184210523</v>
      </c>
      <c r="O17" s="72">
        <v>3.915972118421053E-2</v>
      </c>
      <c r="P17" s="72" t="e">
        <v>#VALUE!</v>
      </c>
      <c r="Q17" s="72">
        <v>17.230027567894737</v>
      </c>
      <c r="R17" s="72">
        <v>6.6858290598941703E-2</v>
      </c>
      <c r="S17" s="72">
        <v>0.11100285021998584</v>
      </c>
      <c r="T17" s="72">
        <v>29.591231147232126</v>
      </c>
      <c r="U17" s="72">
        <v>158.77420682503956</v>
      </c>
      <c r="V17" s="72">
        <v>4.8478349914081197E-2</v>
      </c>
      <c r="W17" s="72">
        <v>0.45727767682894738</v>
      </c>
      <c r="X17" s="72">
        <v>14.605500981694236</v>
      </c>
      <c r="Y17" s="72">
        <v>150.00817424404852</v>
      </c>
      <c r="Z17" s="72">
        <v>1.0146722186326158E-2</v>
      </c>
      <c r="AA17" s="72">
        <v>0.33488933115633901</v>
      </c>
      <c r="AB17" s="72">
        <v>6.2169535932738009</v>
      </c>
      <c r="AC17" s="72">
        <v>11.441520086250163</v>
      </c>
      <c r="AD17" s="72">
        <v>0.68847787535262717</v>
      </c>
      <c r="AE17" s="72">
        <v>1.9742538107317075E-3</v>
      </c>
      <c r="AF17" s="72">
        <v>2.8732162954102348E-2</v>
      </c>
      <c r="AG17" s="72">
        <v>2.6665763379883151E-2</v>
      </c>
      <c r="AH17" s="72">
        <v>7.7438985512763159</v>
      </c>
      <c r="AI17" s="72">
        <v>1.8560923815789476E-3</v>
      </c>
      <c r="AJ17" s="72">
        <v>7.6133148445421503E-2</v>
      </c>
      <c r="AK17" s="72">
        <v>1.2696323407894738E-2</v>
      </c>
    </row>
    <row r="18" spans="1:37" s="73" customFormat="1" hidden="1">
      <c r="A18" s="76" t="s">
        <v>69</v>
      </c>
      <c r="B18" s="76"/>
      <c r="C18" s="71" t="s">
        <v>38</v>
      </c>
      <c r="D18" s="77" t="s">
        <v>70</v>
      </c>
      <c r="E18" s="77" t="s">
        <v>71</v>
      </c>
      <c r="F18" s="77" t="s">
        <v>72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</row>
    <row r="19" spans="1:37" s="73" customFormat="1" hidden="1">
      <c r="A19" s="76" t="s">
        <v>73</v>
      </c>
      <c r="B19" s="76"/>
      <c r="C19" s="71"/>
      <c r="D19" s="77"/>
      <c r="E19" s="77"/>
      <c r="F19" s="77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</row>
    <row r="20" spans="1:37" s="90" customFormat="1">
      <c r="A20" s="92"/>
      <c r="B20" s="92"/>
      <c r="C20" s="87"/>
      <c r="D20" s="93"/>
      <c r="E20" s="93"/>
      <c r="F20" s="87" t="s">
        <v>44</v>
      </c>
      <c r="G20" s="89">
        <f>((G17/G16)-1)*100</f>
        <v>-24.743342701195314</v>
      </c>
      <c r="H20" s="89">
        <f t="shared" ref="H20:AK20" si="73">((H17/H16)-1)*100</f>
        <v>-25.3800398152616</v>
      </c>
      <c r="I20" s="89">
        <f t="shared" si="73"/>
        <v>-16.162644040331088</v>
      </c>
      <c r="J20" s="89">
        <f t="shared" si="73"/>
        <v>-12.814643415784088</v>
      </c>
      <c r="K20" s="89">
        <f t="shared" si="73"/>
        <v>-25.301865895511476</v>
      </c>
      <c r="L20" s="89">
        <f t="shared" si="73"/>
        <v>-15.465098074455542</v>
      </c>
      <c r="M20" s="89">
        <f t="shared" si="73"/>
        <v>6.6405489574591803</v>
      </c>
      <c r="N20" s="110">
        <f t="shared" si="73"/>
        <v>-82.842989903382147</v>
      </c>
      <c r="O20" s="110">
        <f>((O17/O16)-1)*100</f>
        <v>-62.297680580274864</v>
      </c>
      <c r="P20" s="89" t="e">
        <f t="shared" si="73"/>
        <v>#VALUE!</v>
      </c>
      <c r="Q20" s="112">
        <f t="shared" si="73"/>
        <v>-65.28988396804931</v>
      </c>
      <c r="R20" s="110">
        <f t="shared" si="73"/>
        <v>-71.78908247028339</v>
      </c>
      <c r="S20" s="110">
        <f t="shared" si="73"/>
        <v>-73.833211552367445</v>
      </c>
      <c r="T20" s="89">
        <f t="shared" si="73"/>
        <v>-14.942280467074786</v>
      </c>
      <c r="U20" s="112">
        <f t="shared" si="73"/>
        <v>-39.431668108730754</v>
      </c>
      <c r="V20" s="89">
        <f t="shared" si="73"/>
        <v>-17.574322451917869</v>
      </c>
      <c r="W20" s="89">
        <f t="shared" si="73"/>
        <v>29.977568653286312</v>
      </c>
      <c r="X20" s="89">
        <f t="shared" si="73"/>
        <v>-19.662366751052517</v>
      </c>
      <c r="Y20" s="112">
        <f t="shared" si="73"/>
        <v>-40.511036832216753</v>
      </c>
      <c r="Z20" s="110">
        <f t="shared" si="73"/>
        <v>-78.027333002229696</v>
      </c>
      <c r="AA20" s="89">
        <f t="shared" si="73"/>
        <v>-22.115719031739157</v>
      </c>
      <c r="AB20" s="89">
        <f t="shared" si="73"/>
        <v>25.739605890548155</v>
      </c>
      <c r="AC20" s="89">
        <f t="shared" si="73"/>
        <v>16.048179551443464</v>
      </c>
      <c r="AD20" s="89">
        <f t="shared" si="73"/>
        <v>-8.6619173860228322</v>
      </c>
      <c r="AE20" s="89">
        <f t="shared" si="73"/>
        <v>15.854459125708642</v>
      </c>
      <c r="AF20" s="89">
        <f t="shared" si="73"/>
        <v>-10.300062872846194</v>
      </c>
      <c r="AG20" s="89">
        <f t="shared" si="73"/>
        <v>24.380066173984495</v>
      </c>
      <c r="AH20" s="89">
        <f t="shared" si="73"/>
        <v>19.931363761232745</v>
      </c>
      <c r="AI20" s="110">
        <f t="shared" si="73"/>
        <v>-50.996998970206022</v>
      </c>
      <c r="AJ20" s="110">
        <f t="shared" si="73"/>
        <v>-41.619106892357337</v>
      </c>
      <c r="AK20" s="110">
        <f t="shared" si="73"/>
        <v>-40.080470604548893</v>
      </c>
    </row>
    <row r="21" spans="1:37" s="102" customFormat="1">
      <c r="A21" s="103" t="s">
        <v>74</v>
      </c>
      <c r="B21" s="103" t="s">
        <v>75</v>
      </c>
      <c r="C21" s="104" t="s">
        <v>76</v>
      </c>
      <c r="D21" s="104" t="s">
        <v>77</v>
      </c>
      <c r="E21" s="104" t="s">
        <v>78</v>
      </c>
      <c r="F21" s="104" t="s">
        <v>79</v>
      </c>
      <c r="G21" s="105">
        <v>1.8857519889985608</v>
      </c>
      <c r="H21" s="105">
        <v>1991.5748777225297</v>
      </c>
      <c r="I21" s="105">
        <v>1126.9653824063821</v>
      </c>
      <c r="J21" s="105">
        <v>2455.1443666506311</v>
      </c>
      <c r="K21" s="105">
        <v>3355.124182394889</v>
      </c>
      <c r="L21" s="105">
        <v>7667.0978950265326</v>
      </c>
      <c r="M21" s="105">
        <v>5685.4954721025415</v>
      </c>
      <c r="N21" s="105">
        <v>1.8115921522703622</v>
      </c>
      <c r="O21" s="105">
        <v>9.2539810379174331E-2</v>
      </c>
      <c r="P21" s="105">
        <v>1.8356658119622513E-3</v>
      </c>
      <c r="Q21" s="105">
        <v>44.659008544186349</v>
      </c>
      <c r="R21" s="105">
        <v>0.1865510891914805</v>
      </c>
      <c r="S21" s="105">
        <v>0.47219992701249719</v>
      </c>
      <c r="T21" s="105">
        <v>23.204256558317386</v>
      </c>
      <c r="U21" s="105">
        <v>179.17813073139541</v>
      </c>
      <c r="V21" s="105">
        <v>8.4898506179947555E-2</v>
      </c>
      <c r="W21" s="105">
        <v>1.1302850719618389</v>
      </c>
      <c r="X21" s="105">
        <v>12.207503968834271</v>
      </c>
      <c r="Y21" s="105">
        <v>217.51557757360638</v>
      </c>
      <c r="Z21" s="105">
        <v>0.14419496831792311</v>
      </c>
      <c r="AA21" s="105">
        <v>0.37993412624665113</v>
      </c>
      <c r="AB21" s="105">
        <v>4.3755003782137338</v>
      </c>
      <c r="AC21" s="105">
        <v>10.905659334304749</v>
      </c>
      <c r="AD21" s="105">
        <v>0.31983341438932167</v>
      </c>
      <c r="AE21" s="105">
        <v>1.9301373519600401E-2</v>
      </c>
      <c r="AF21" s="105">
        <v>3.6950275012824108E-2</v>
      </c>
      <c r="AG21" s="105">
        <v>3.1588340399550614E-2</v>
      </c>
      <c r="AH21" s="105">
        <v>0.78182985121030713</v>
      </c>
      <c r="AI21" s="105">
        <v>1.9764998008681305E-3</v>
      </c>
      <c r="AJ21" s="105">
        <v>6.3656030565889477E-2</v>
      </c>
      <c r="AK21" s="105">
        <v>2.4085988721597326E-2</v>
      </c>
    </row>
    <row r="22" spans="1:37" s="73" customFormat="1">
      <c r="A22" s="79">
        <v>282</v>
      </c>
      <c r="B22" s="79" t="s">
        <v>80</v>
      </c>
      <c r="C22" s="80"/>
      <c r="D22" s="80"/>
      <c r="E22" s="80"/>
      <c r="F22" s="80"/>
      <c r="G22" s="81">
        <v>2.4959702884868746</v>
      </c>
      <c r="H22" s="81">
        <v>2007.219233888721</v>
      </c>
      <c r="I22" s="81">
        <v>977.73569342902965</v>
      </c>
      <c r="J22" s="81">
        <v>2720.0154914744344</v>
      </c>
      <c r="K22" s="81">
        <v>3115.3371461419833</v>
      </c>
      <c r="L22" s="81">
        <v>6605.4963108156926</v>
      </c>
      <c r="M22" s="81">
        <v>3692.3995500165702</v>
      </c>
      <c r="N22" s="81">
        <v>3.3769266850992024</v>
      </c>
      <c r="O22" s="81" t="e">
        <v>#VALUE!</v>
      </c>
      <c r="P22" s="81">
        <v>7.1689836894997605E-3</v>
      </c>
      <c r="Q22" s="81">
        <v>96.227889560758598</v>
      </c>
      <c r="R22" s="81">
        <v>0.14603569634395128</v>
      </c>
      <c r="S22" s="81">
        <v>0.52945105218277244</v>
      </c>
      <c r="T22" s="81">
        <v>37.834116799238515</v>
      </c>
      <c r="U22" s="81">
        <v>204.66433202021895</v>
      </c>
      <c r="V22" s="81">
        <v>0.12970138239706208</v>
      </c>
      <c r="W22" s="81">
        <v>0.40947756046075601</v>
      </c>
      <c r="X22" s="81">
        <v>11.416368542292439</v>
      </c>
      <c r="Y22" s="81">
        <v>143.78380677733293</v>
      </c>
      <c r="Z22" s="81">
        <v>0.10652878115190796</v>
      </c>
      <c r="AA22" s="81">
        <v>0.29367169893554601</v>
      </c>
      <c r="AB22" s="81">
        <v>5.4979371070525724</v>
      </c>
      <c r="AC22" s="81">
        <v>4.4513059865035292</v>
      </c>
      <c r="AD22" s="81">
        <v>0.37909430949562878</v>
      </c>
      <c r="AE22" s="81">
        <v>1.9748732009705486E-3</v>
      </c>
      <c r="AF22" s="81">
        <v>3.8398490697446531E-2</v>
      </c>
      <c r="AG22" s="81">
        <v>3.9838133024276343E-2</v>
      </c>
      <c r="AH22" s="81">
        <v>3.3516747008807513</v>
      </c>
      <c r="AI22" s="81">
        <v>2.8463010199395004E-3</v>
      </c>
      <c r="AJ22" s="81">
        <v>7.3175031166940588E-2</v>
      </c>
      <c r="AK22" s="81">
        <v>2.0992464192911047E-2</v>
      </c>
    </row>
    <row r="23" spans="1:37" s="97" customFormat="1" ht="16.5" customHeight="1">
      <c r="A23" s="94"/>
      <c r="B23" s="94"/>
      <c r="C23" s="95"/>
      <c r="D23" s="95"/>
      <c r="E23" s="95"/>
      <c r="F23" s="95" t="s">
        <v>44</v>
      </c>
      <c r="G23" s="96">
        <f>((G22/G21)-1)*100</f>
        <v>32.35941433700269</v>
      </c>
      <c r="H23" s="96">
        <f t="shared" ref="H23" si="74">((H22/H21)-1)*100</f>
        <v>0.7855268883528721</v>
      </c>
      <c r="I23" s="96">
        <f t="shared" ref="I23" si="75">((I22/I21)-1)*100</f>
        <v>-13.241727856689433</v>
      </c>
      <c r="J23" s="96">
        <f t="shared" ref="J23" si="76">((J22/J21)-1)*100</f>
        <v>10.788413440027034</v>
      </c>
      <c r="K23" s="96">
        <f t="shared" ref="K23" si="77">((K22/K21)-1)*100</f>
        <v>-7.146890046905674</v>
      </c>
      <c r="L23" s="96">
        <f t="shared" ref="L23" si="78">((L22/L21)-1)*100</f>
        <v>-13.84619837578278</v>
      </c>
      <c r="M23" s="110">
        <f t="shared" ref="M23" si="79">((M22/M21)-1)*100</f>
        <v>-35.055800006624729</v>
      </c>
      <c r="N23" s="110">
        <f t="shared" ref="N23" si="80">((N22/N21)-1)*100</f>
        <v>86.406564019782166</v>
      </c>
      <c r="O23" s="96" t="e">
        <f t="shared" ref="O23" si="81">((O22/O21)-1)*100</f>
        <v>#VALUE!</v>
      </c>
      <c r="P23" s="110">
        <f t="shared" ref="P23" si="82">((P22/P21)-1)*100</f>
        <v>290.53860690669023</v>
      </c>
      <c r="Q23" s="112">
        <f t="shared" ref="Q23" si="83">((Q22/Q21)-1)*100</f>
        <v>115.47251651489118</v>
      </c>
      <c r="R23" s="96">
        <f>((R22/R21)-1)*100</f>
        <v>-21.718121841649108</v>
      </c>
      <c r="S23" s="96">
        <f t="shared" ref="S23" si="84">((S22/S21)-1)*100</f>
        <v>12.124340114258425</v>
      </c>
      <c r="T23" s="112">
        <f t="shared" ref="T23" si="85">((T22/T21)-1)*100</f>
        <v>63.04817482151639</v>
      </c>
      <c r="U23" s="96">
        <f t="shared" ref="U23" si="86">((U22/U21)-1)*100</f>
        <v>14.223946407293253</v>
      </c>
      <c r="V23" s="110">
        <f t="shared" ref="V23" si="87">((V22/V21)-1)*100</f>
        <v>52.772278610123124</v>
      </c>
      <c r="W23" s="110">
        <f t="shared" ref="W23" si="88">((W22/W21)-1)*100</f>
        <v>-63.772187157172247</v>
      </c>
      <c r="X23" s="96">
        <f t="shared" ref="X23" si="89">((X22/X21)-1)*100</f>
        <v>-6.4807304471216964</v>
      </c>
      <c r="Y23" s="96">
        <f t="shared" ref="Y23" si="90">((Y22/Y21)-1)*100</f>
        <v>-33.89723697895748</v>
      </c>
      <c r="Z23" s="96">
        <f>((Z22/Z21)-1)*100</f>
        <v>-26.121707023069074</v>
      </c>
      <c r="AA23" s="96">
        <f t="shared" ref="AA23" si="91">((AA22/AA21)-1)*100</f>
        <v>-22.704574649107467</v>
      </c>
      <c r="AB23" s="96">
        <f t="shared" ref="AB23" si="92">((AB22/AB21)-1)*100</f>
        <v>25.652762697213284</v>
      </c>
      <c r="AC23" s="96">
        <f t="shared" ref="AC23" si="93">((AC22/AC21)-1)*100</f>
        <v>-59.183522517510347</v>
      </c>
      <c r="AD23" s="96">
        <f t="shared" ref="AD23" si="94">((AD22/AD21)-1)*100</f>
        <v>18.528675379168156</v>
      </c>
      <c r="AE23" s="110">
        <f t="shared" ref="AE23" si="95">((AE22/AE21)-1)*100</f>
        <v>-89.768224530937758</v>
      </c>
      <c r="AF23" s="96">
        <f>((AF22/AF21)-1)*100</f>
        <v>3.9193637506616641</v>
      </c>
      <c r="AG23" s="96">
        <f t="shared" ref="AG23" si="96">((AG22/AG21)-1)*100</f>
        <v>26.11657504122342</v>
      </c>
      <c r="AH23" s="110">
        <f t="shared" ref="AH23" si="97">((AH22/AH21)-1)*100</f>
        <v>328.69617931474613</v>
      </c>
      <c r="AI23" s="110">
        <f t="shared" ref="AI23" si="98">((AI22/AI21)-1)*100</f>
        <v>44.007149339925576</v>
      </c>
      <c r="AJ23" s="96">
        <f t="shared" ref="AJ23" si="99">((AJ22/AJ21)-1)*100</f>
        <v>14.953808015405734</v>
      </c>
      <c r="AK23" s="96">
        <f t="shared" ref="AK23" si="100">((AK22/AK21)-1)*100</f>
        <v>-12.843668426666621</v>
      </c>
    </row>
    <row r="24" spans="1:37" s="109" customFormat="1">
      <c r="A24" s="106" t="s">
        <v>81</v>
      </c>
      <c r="B24" s="106"/>
      <c r="C24" s="107" t="s">
        <v>76</v>
      </c>
      <c r="D24" s="107" t="s">
        <v>82</v>
      </c>
      <c r="E24" s="107" t="s">
        <v>83</v>
      </c>
      <c r="F24" s="107" t="s">
        <v>79</v>
      </c>
      <c r="G24" s="108">
        <v>3.0223039802712459</v>
      </c>
      <c r="H24" s="108">
        <v>2844.8000602648281</v>
      </c>
      <c r="I24" s="108">
        <v>1140.5713102200871</v>
      </c>
      <c r="J24" s="108">
        <v>3778.2051297442449</v>
      </c>
      <c r="K24" s="108">
        <v>4048.9626856377708</v>
      </c>
      <c r="L24" s="108">
        <v>5623.4005072090167</v>
      </c>
      <c r="M24" s="108">
        <v>4284.6864049375672</v>
      </c>
      <c r="N24" s="108">
        <v>1.7440594907685814</v>
      </c>
      <c r="O24" s="108">
        <v>9.1672252497060486E-2</v>
      </c>
      <c r="P24" s="108">
        <v>1.4348352447169716E-2</v>
      </c>
      <c r="Q24" s="108">
        <v>199.42852926441418</v>
      </c>
      <c r="R24" s="108">
        <v>0.6756100056166594</v>
      </c>
      <c r="S24" s="108">
        <v>1.1874686477202281</v>
      </c>
      <c r="T24" s="108">
        <v>73.113032177504834</v>
      </c>
      <c r="U24" s="108">
        <v>131.28114457030006</v>
      </c>
      <c r="V24" s="108">
        <v>0.11037212647159766</v>
      </c>
      <c r="W24" s="108">
        <v>0.53724937914200765</v>
      </c>
      <c r="X24" s="108">
        <v>13.843182714616242</v>
      </c>
      <c r="Y24" s="108">
        <v>205.85355587955496</v>
      </c>
      <c r="Z24" s="108">
        <v>0.18817224450381589</v>
      </c>
      <c r="AA24" s="108">
        <v>0.1508167548794983</v>
      </c>
      <c r="AB24" s="108">
        <v>6.8503214221889337</v>
      </c>
      <c r="AC24" s="108">
        <v>7.1809742495390374</v>
      </c>
      <c r="AD24" s="108">
        <v>0.36120323271067567</v>
      </c>
      <c r="AE24" s="108">
        <v>5.9125364115840458E-3</v>
      </c>
      <c r="AF24" s="108">
        <v>7.9079680855663859E-2</v>
      </c>
      <c r="AG24" s="108">
        <v>3.0052800607901813E-2</v>
      </c>
      <c r="AH24" s="108">
        <v>3.5311359999723932</v>
      </c>
      <c r="AI24" s="108">
        <v>5.0118867108109501E-3</v>
      </c>
      <c r="AJ24" s="108">
        <v>0.11974338113324678</v>
      </c>
      <c r="AK24" s="108">
        <v>0.68118088238754071</v>
      </c>
    </row>
    <row r="25" spans="1:37" s="82" customFormat="1">
      <c r="A25" s="83">
        <v>279</v>
      </c>
      <c r="B25" s="83" t="s">
        <v>84</v>
      </c>
      <c r="C25" s="84"/>
      <c r="D25" s="84"/>
      <c r="E25" s="84"/>
      <c r="F25" s="84"/>
      <c r="G25" s="85">
        <v>3.6912045900226174</v>
      </c>
      <c r="H25" s="85">
        <v>3844.4981080196781</v>
      </c>
      <c r="I25" s="85">
        <v>973.03946074526505</v>
      </c>
      <c r="J25" s="85">
        <v>2143.8900175139106</v>
      </c>
      <c r="K25" s="85">
        <v>3076.8668807725935</v>
      </c>
      <c r="L25" s="85">
        <v>7961.295146867431</v>
      </c>
      <c r="M25" s="85">
        <v>3487.2776061875625</v>
      </c>
      <c r="N25" s="85">
        <v>3.1045497704366509</v>
      </c>
      <c r="O25" s="85">
        <v>5.0468537144799999E-2</v>
      </c>
      <c r="P25" s="85">
        <v>4.3163137462402627E-3</v>
      </c>
      <c r="Q25" s="85">
        <v>246.28921985653545</v>
      </c>
      <c r="R25" s="85">
        <v>0.15671667169859352</v>
      </c>
      <c r="S25" s="85">
        <v>0.31249301498913379</v>
      </c>
      <c r="T25" s="85">
        <v>64.850800566283979</v>
      </c>
      <c r="U25" s="85">
        <v>162.95268573840045</v>
      </c>
      <c r="V25" s="85">
        <v>7.1535913128250403E-2</v>
      </c>
      <c r="W25" s="85">
        <v>0.38338061918360711</v>
      </c>
      <c r="X25" s="85">
        <v>20.984951699668436</v>
      </c>
      <c r="Y25" s="85">
        <v>177.04911136211408</v>
      </c>
      <c r="Z25" s="85">
        <v>8.9694682209147295E-2</v>
      </c>
      <c r="AA25" s="85">
        <v>0.12358824306369856</v>
      </c>
      <c r="AB25" s="85">
        <v>3.2482235147750349</v>
      </c>
      <c r="AC25" s="85">
        <v>6.5394685223729985</v>
      </c>
      <c r="AD25" s="85">
        <v>0.23968104788356487</v>
      </c>
      <c r="AE25" s="85">
        <v>1.8815075467127538E-3</v>
      </c>
      <c r="AF25" s="85">
        <v>2.230618640619856E-2</v>
      </c>
      <c r="AG25" s="85">
        <v>3.2152914179615306E-2</v>
      </c>
      <c r="AH25" s="85">
        <v>5.9750754380561517</v>
      </c>
      <c r="AI25" s="85">
        <v>3.4757590265649084E-3</v>
      </c>
      <c r="AJ25" s="85">
        <v>0.21425275507114799</v>
      </c>
      <c r="AK25" s="85">
        <v>6.2599304972419487E-2</v>
      </c>
    </row>
    <row r="26" spans="1:37" s="97" customFormat="1">
      <c r="A26" s="94"/>
      <c r="B26" s="94"/>
      <c r="C26" s="95"/>
      <c r="D26" s="95"/>
      <c r="E26" s="95"/>
      <c r="F26" s="95" t="s">
        <v>44</v>
      </c>
      <c r="G26" s="96">
        <f>((G25/G24)-1)*100</f>
        <v>22.132142038582735</v>
      </c>
      <c r="H26" s="110">
        <f t="shared" ref="H26" si="101">((H25/H24)-1)*100</f>
        <v>35.141241091712658</v>
      </c>
      <c r="I26" s="96">
        <f t="shared" ref="I26" si="102">((I25/I24)-1)*100</f>
        <v>-14.688415180502368</v>
      </c>
      <c r="J26" s="112">
        <f t="shared" ref="J26" si="103">((J25/J24)-1)*100</f>
        <v>-43.256389108257999</v>
      </c>
      <c r="K26" s="96">
        <f t="shared" ref="K26" si="104">((K25/K24)-1)*100</f>
        <v>-24.008514781164447</v>
      </c>
      <c r="L26" s="112">
        <f t="shared" ref="L26" si="105">((L25/L24)-1)*100</f>
        <v>41.574393228106544</v>
      </c>
      <c r="M26" s="96">
        <f t="shared" ref="M26" si="106">((M25/M24)-1)*100</f>
        <v>-18.610668865546153</v>
      </c>
      <c r="N26" s="110">
        <f t="shared" ref="N26" si="107">((N25/N24)-1)*100</f>
        <v>78.007102789166979</v>
      </c>
      <c r="O26" s="96">
        <f t="shared" ref="O26" si="108">((O25/O24)-1)*100</f>
        <v>-44.946768765806979</v>
      </c>
      <c r="P26" s="110">
        <f t="shared" ref="P26" si="109">((P25/P24)-1)*100</f>
        <v>-69.917704752982445</v>
      </c>
      <c r="Q26" s="96">
        <f t="shared" ref="Q26" si="110">((Q25/Q24)-1)*100</f>
        <v>23.497485923887339</v>
      </c>
      <c r="R26" s="110">
        <f>((R25/R24)-1)*100</f>
        <v>-76.803678098942413</v>
      </c>
      <c r="S26" s="110">
        <f t="shared" ref="S26" si="111">((S25/S24)-1)*100</f>
        <v>-73.684103947579899</v>
      </c>
      <c r="T26" s="96">
        <f t="shared" ref="T26" si="112">((T25/T24)-1)*100</f>
        <v>-11.30062776108327</v>
      </c>
      <c r="U26" s="96">
        <f t="shared" ref="U26" si="113">((U25/U24)-1)*100</f>
        <v>24.124973370521239</v>
      </c>
      <c r="V26" s="96">
        <f t="shared" ref="V26" si="114">((V25/V24)-1)*100</f>
        <v>-35.186613309784406</v>
      </c>
      <c r="W26" s="96">
        <f t="shared" ref="W26" si="115">((W25/W24)-1)*100</f>
        <v>-28.640100097301257</v>
      </c>
      <c r="X26" s="110">
        <f t="shared" ref="X26" si="116">((X25/X24)-1)*100</f>
        <v>51.590513050959011</v>
      </c>
      <c r="Y26" s="96">
        <f t="shared" ref="Y26" si="117">((Y25/Y24)-1)*100</f>
        <v>-13.992687371547952</v>
      </c>
      <c r="Z26" s="110">
        <f>((Z25/Z24)-1)*100</f>
        <v>-52.333734209495276</v>
      </c>
      <c r="AA26" s="96">
        <f t="shared" ref="AA26" si="118">((AA25/AA24)-1)*100</f>
        <v>-18.054036395064433</v>
      </c>
      <c r="AB26" s="110">
        <f t="shared" ref="AB26" si="119">((AB25/AB24)-1)*100</f>
        <v>-52.582903566339432</v>
      </c>
      <c r="AC26" s="96">
        <f t="shared" ref="AC26" si="120">((AC25/AC24)-1)*100</f>
        <v>-8.9334079871852818</v>
      </c>
      <c r="AD26" s="96">
        <f t="shared" ref="AD26" si="121">((AD25/AD24)-1)*100</f>
        <v>-33.643714624351176</v>
      </c>
      <c r="AE26" s="110">
        <f t="shared" ref="AE26" si="122">((AE25/AE24)-1)*100</f>
        <v>-68.177658186993327</v>
      </c>
      <c r="AF26" s="110">
        <f>((AF25/AF24)-1)*100</f>
        <v>-71.792771335392985</v>
      </c>
      <c r="AG26" s="96">
        <f t="shared" ref="AG26" si="123">((AG25/AG24)-1)*100</f>
        <v>6.9880794110127153</v>
      </c>
      <c r="AH26" s="110">
        <f t="shared" ref="AH26" si="124">((AH25/AH24)-1)*100</f>
        <v>69.211138797907125</v>
      </c>
      <c r="AI26" s="110">
        <f t="shared" ref="AI26" si="125">((AI25/AI24)-1)*100</f>
        <v>-30.649688887271122</v>
      </c>
      <c r="AJ26" s="110">
        <f t="shared" ref="AJ26" si="126">((AJ25/AJ24)-1)*100</f>
        <v>78.926595393806394</v>
      </c>
      <c r="AK26" s="110">
        <f t="shared" ref="AK26" si="127">((AK25/AK24)-1)*100</f>
        <v>-90.810178824601067</v>
      </c>
    </row>
    <row r="27" spans="1:37" s="109" customFormat="1">
      <c r="A27" s="106" t="s">
        <v>85</v>
      </c>
      <c r="B27" s="106"/>
      <c r="C27" s="107" t="s">
        <v>76</v>
      </c>
      <c r="D27" s="107" t="s">
        <v>82</v>
      </c>
      <c r="E27" s="107" t="s">
        <v>86</v>
      </c>
      <c r="F27" s="107" t="s">
        <v>79</v>
      </c>
      <c r="G27" s="108">
        <v>2.5560103674350119</v>
      </c>
      <c r="H27" s="108">
        <v>4249.9597173286656</v>
      </c>
      <c r="I27" s="108">
        <v>1136.4946077432724</v>
      </c>
      <c r="J27" s="108">
        <v>3082.1826157478354</v>
      </c>
      <c r="K27" s="108">
        <v>3277.7426769864496</v>
      </c>
      <c r="L27" s="108">
        <v>6254.2890819379427</v>
      </c>
      <c r="M27" s="108">
        <v>4687.0954750093542</v>
      </c>
      <c r="N27" s="108">
        <v>1.9561068120666696</v>
      </c>
      <c r="O27" s="108">
        <v>0.11073218659178785</v>
      </c>
      <c r="P27" s="108">
        <v>8.8051237703835588E-3</v>
      </c>
      <c r="Q27" s="108">
        <v>236.21516825919349</v>
      </c>
      <c r="R27" s="108">
        <v>0.13648291744738797</v>
      </c>
      <c r="S27" s="108">
        <v>0.36542810279705185</v>
      </c>
      <c r="T27" s="108">
        <v>62.922365340850369</v>
      </c>
      <c r="U27" s="108">
        <v>154.96116665172929</v>
      </c>
      <c r="V27" s="108">
        <v>7.0162243583224232E-2</v>
      </c>
      <c r="W27" s="108">
        <v>0.44375972580978973</v>
      </c>
      <c r="X27" s="108">
        <v>13.308440254316949</v>
      </c>
      <c r="Y27" s="108">
        <v>195.92706061439526</v>
      </c>
      <c r="Z27" s="108">
        <v>0.10443602473269543</v>
      </c>
      <c r="AA27" s="108">
        <v>0.16331606291039524</v>
      </c>
      <c r="AB27" s="108">
        <v>3.809612442776404</v>
      </c>
      <c r="AC27" s="108">
        <v>6.0652879571811207</v>
      </c>
      <c r="AD27" s="108">
        <v>0.25680765563591984</v>
      </c>
      <c r="AE27" s="108">
        <v>3.9536115250756489E-3</v>
      </c>
      <c r="AF27" s="108">
        <v>3.4893183574712792E-2</v>
      </c>
      <c r="AG27" s="108">
        <v>2.8472256855415795E-2</v>
      </c>
      <c r="AH27" s="108">
        <v>5.1672933120762927</v>
      </c>
      <c r="AI27" s="108">
        <v>4.745186476464892E-3</v>
      </c>
      <c r="AJ27" s="108">
        <v>0.14179882370316993</v>
      </c>
      <c r="AK27" s="108">
        <v>3.2278268080279782E-2</v>
      </c>
    </row>
    <row r="28" spans="1:37" s="82" customFormat="1">
      <c r="A28" s="83">
        <v>280</v>
      </c>
      <c r="B28" s="83" t="s">
        <v>87</v>
      </c>
      <c r="C28" s="84"/>
      <c r="D28" s="84"/>
      <c r="E28" s="84"/>
      <c r="F28" s="84"/>
      <c r="G28" s="85">
        <v>2.0180750210772143</v>
      </c>
      <c r="H28" s="85">
        <v>3614.4824804548271</v>
      </c>
      <c r="I28" s="85">
        <v>952.28063444760505</v>
      </c>
      <c r="J28" s="85">
        <v>3354.59148233202</v>
      </c>
      <c r="K28" s="85">
        <v>2613.4036591332492</v>
      </c>
      <c r="L28" s="85">
        <v>8273.7063299712736</v>
      </c>
      <c r="M28" s="85">
        <v>4341.2513919664416</v>
      </c>
      <c r="N28" s="85">
        <v>1.5524747357298239</v>
      </c>
      <c r="O28" s="85">
        <v>9.2956432867720984E-2</v>
      </c>
      <c r="P28" s="85">
        <v>4.1122698266159736E-3</v>
      </c>
      <c r="Q28" s="85">
        <v>227.297324033233</v>
      </c>
      <c r="R28" s="85">
        <v>0.11640271125061023</v>
      </c>
      <c r="S28" s="85">
        <v>0.158235236447508</v>
      </c>
      <c r="T28" s="85">
        <v>80.541687779503292</v>
      </c>
      <c r="U28" s="85">
        <v>113.83569208638255</v>
      </c>
      <c r="V28" s="85">
        <v>0.1312420103824298</v>
      </c>
      <c r="W28" s="85">
        <v>0.38887334214204322</v>
      </c>
      <c r="X28" s="85">
        <v>20.722327708955945</v>
      </c>
      <c r="Y28" s="85">
        <v>175.88493501829151</v>
      </c>
      <c r="Z28" s="85">
        <v>5.2666655501956622E-2</v>
      </c>
      <c r="AA28" s="85">
        <v>0.13446938239025472</v>
      </c>
      <c r="AB28" s="85">
        <v>3.800603880703386</v>
      </c>
      <c r="AC28" s="85">
        <v>8.3380218174257283</v>
      </c>
      <c r="AD28" s="85">
        <v>0.20669693630754485</v>
      </c>
      <c r="AE28" s="85">
        <v>2.9338325589006392E-3</v>
      </c>
      <c r="AF28" s="85">
        <v>2.2492219811979085E-2</v>
      </c>
      <c r="AG28" s="85">
        <v>2.9875527440898143E-2</v>
      </c>
      <c r="AH28" s="85">
        <v>6.8322677063770501</v>
      </c>
      <c r="AI28" s="85">
        <v>8.6404924868026343E-3</v>
      </c>
      <c r="AJ28" s="85">
        <v>0.11352293022083321</v>
      </c>
      <c r="AK28" s="85">
        <v>2.2325605084504301E-2</v>
      </c>
    </row>
    <row r="29" spans="1:37" s="97" customFormat="1">
      <c r="F29" s="98" t="s">
        <v>44</v>
      </c>
      <c r="G29" s="96">
        <f>((G28/G27)-1)*100</f>
        <v>-21.045898452189082</v>
      </c>
      <c r="H29" s="96">
        <f t="shared" ref="H29" si="128">((H28/H27)-1)*100</f>
        <v>-14.952547297866413</v>
      </c>
      <c r="I29" s="96">
        <f t="shared" ref="I29" si="129">((I28/I27)-1)*100</f>
        <v>-16.208961489175866</v>
      </c>
      <c r="J29" s="96">
        <f t="shared" ref="J29" si="130">((J28/J27)-1)*100</f>
        <v>8.8381806189017595</v>
      </c>
      <c r="K29" s="96">
        <f t="shared" ref="K29" si="131">((K28/K27)-1)*100</f>
        <v>-20.268187082458599</v>
      </c>
      <c r="L29" s="96">
        <f t="shared" ref="L29" si="132">((L28/L27)-1)*100</f>
        <v>32.288517872723553</v>
      </c>
      <c r="M29" s="96">
        <f t="shared" ref="M29" si="133">((M28/M27)-1)*100</f>
        <v>-7.3786438720287117</v>
      </c>
      <c r="N29" s="96">
        <f t="shared" ref="N29" si="134">((N28/N27)-1)*100</f>
        <v>-20.63445993066194</v>
      </c>
      <c r="O29" s="96">
        <f t="shared" ref="O29" si="135">((O28/O27)-1)*100</f>
        <v>-16.052923970152289</v>
      </c>
      <c r="P29" s="110">
        <f t="shared" ref="P29" si="136">((P28/P27)-1)*100</f>
        <v>-53.296853810871085</v>
      </c>
      <c r="Q29" s="96">
        <f t="shared" ref="Q29" si="137">((Q28/Q27)-1)*100</f>
        <v>-3.7753054944274944</v>
      </c>
      <c r="R29" s="96">
        <f>((R28/R27)-1)*100</f>
        <v>-14.71261500877452</v>
      </c>
      <c r="S29" s="110">
        <f t="shared" ref="S29" si="138">((S28/S27)-1)*100</f>
        <v>-56.698667881220054</v>
      </c>
      <c r="T29" s="96">
        <f t="shared" ref="T29" si="139">((T28/T27)-1)*100</f>
        <v>28.001684843233534</v>
      </c>
      <c r="U29" s="96">
        <f t="shared" ref="U29" si="140">((U28/U27)-1)*100</f>
        <v>-26.539213309986909</v>
      </c>
      <c r="V29" s="110">
        <f t="shared" ref="V29" si="141">((V28/V27)-1)*100</f>
        <v>87.055036555030753</v>
      </c>
      <c r="W29" s="96">
        <f t="shared" ref="W29" si="142">((W28/W27)-1)*100</f>
        <v>-12.368491432517391</v>
      </c>
      <c r="X29" s="110">
        <f t="shared" ref="X29" si="143">((X28/X27)-1)*100</f>
        <v>55.708161985654961</v>
      </c>
      <c r="Y29" s="96">
        <f t="shared" ref="Y29" si="144">((Y28/Y27)-1)*100</f>
        <v>-10.22938104274872</v>
      </c>
      <c r="Z29" s="110">
        <f>((Z28/Z27)-1)*100</f>
        <v>-49.570413430847061</v>
      </c>
      <c r="AA29" s="96">
        <f t="shared" ref="AA29" si="145">((AA28/AA27)-1)*100</f>
        <v>-17.663100619788697</v>
      </c>
      <c r="AB29" s="96">
        <f t="shared" ref="AB29" si="146">((AB28/AB27)-1)*100</f>
        <v>-0.23646925266898045</v>
      </c>
      <c r="AC29" s="96">
        <f t="shared" ref="AC29" si="147">((AC28/AC27)-1)*100</f>
        <v>37.471161736909096</v>
      </c>
      <c r="AD29" s="96">
        <f t="shared" ref="AD29" si="148">((AD28/AD27)-1)*100</f>
        <v>-19.512938274479531</v>
      </c>
      <c r="AE29" s="96">
        <f t="shared" ref="AE29" si="149">((AE28/AE27)-1)*100</f>
        <v>-25.793605661737264</v>
      </c>
      <c r="AF29" s="96">
        <f>((AF28/AF27)-1)*100</f>
        <v>-35.539788842084121</v>
      </c>
      <c r="AG29" s="96">
        <f t="shared" ref="AG29" si="150">((AG28/AG27)-1)*100</f>
        <v>4.9285541100877905</v>
      </c>
      <c r="AH29" s="110">
        <f t="shared" ref="AH29" si="151">((AH28/AH27)-1)*100</f>
        <v>32.221402845656286</v>
      </c>
      <c r="AI29" s="110">
        <f t="shared" ref="AI29" si="152">((AI28/AI27)-1)*100</f>
        <v>82.089629768137144</v>
      </c>
      <c r="AJ29" s="96">
        <f t="shared" ref="AJ29" si="153">((AJ28/AJ27)-1)*100</f>
        <v>-19.940851936492198</v>
      </c>
      <c r="AK29" s="110">
        <f t="shared" ref="AK29" si="154">((AK28/AK27)-1)*100</f>
        <v>-30.833943664579699</v>
      </c>
    </row>
    <row r="30" spans="1:3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DEC02-7D9C-B946-B21D-807F374135A6}">
  <sheetPr>
    <tabColor rgb="FF7030A0"/>
  </sheetPr>
  <dimension ref="A1:ES58"/>
  <sheetViews>
    <sheetView tabSelected="1" workbookViewId="0">
      <pane xSplit="2" topLeftCell="C1" activePane="topRight" state="frozen"/>
      <selection activeCell="G1" sqref="G1"/>
      <selection pane="topRight" activeCell="F3" sqref="F3:F34"/>
    </sheetView>
  </sheetViews>
  <sheetFormatPr defaultColWidth="11" defaultRowHeight="15.75" customHeight="1"/>
  <cols>
    <col min="1" max="1" width="20.75" style="11" customWidth="1"/>
    <col min="2" max="2" width="11" style="43"/>
    <col min="3" max="3" width="6.25" style="11" customWidth="1"/>
    <col min="4" max="4" width="10" style="11" hidden="1" customWidth="1"/>
    <col min="5" max="5" width="17.25" style="11" customWidth="1"/>
    <col min="6" max="6" width="48.25" style="11" customWidth="1"/>
    <col min="7" max="7" width="23.25" style="11" hidden="1" customWidth="1"/>
    <col min="8" max="8" width="15.5" style="11" customWidth="1"/>
    <col min="9" max="9" width="12" style="11" hidden="1" customWidth="1"/>
    <col min="10" max="10" width="19.75" style="11" bestFit="1" customWidth="1"/>
    <col min="11" max="11" width="12.75" style="11" customWidth="1"/>
    <col min="12" max="13" width="11" style="11" hidden="1" customWidth="1"/>
    <col min="14" max="14" width="11" style="11"/>
    <col min="15" max="15" width="17.75" style="11" customWidth="1"/>
    <col min="16" max="16" width="26.25" style="11" bestFit="1" customWidth="1"/>
    <col min="17" max="21" width="11" style="11"/>
    <col min="22" max="22" width="15.25" style="11" customWidth="1"/>
    <col min="23" max="23" width="13.75" style="11" bestFit="1" customWidth="1"/>
    <col min="24" max="24" width="15.25" style="11" bestFit="1" customWidth="1"/>
    <col min="25" max="25" width="13.75" style="11" customWidth="1"/>
    <col min="26" max="26" width="11" style="11"/>
    <col min="27" max="27" width="11" style="11" customWidth="1"/>
    <col min="28" max="28" width="11" style="11"/>
    <col min="29" max="29" width="11" style="11" customWidth="1"/>
    <col min="30" max="31" width="11" style="11"/>
    <col min="32" max="32" width="12.25" style="11" customWidth="1"/>
    <col min="33" max="33" width="15.25" style="11" customWidth="1"/>
    <col min="34" max="35" width="11" style="11"/>
    <col min="36" max="36" width="36.5" style="11" bestFit="1" customWidth="1"/>
    <col min="37" max="37" width="13.25" style="11" customWidth="1"/>
    <col min="38" max="38" width="11" style="11"/>
    <col min="39" max="42" width="11" style="11" customWidth="1"/>
    <col min="43" max="43" width="16.75" style="11" customWidth="1"/>
    <col min="44" max="45" width="13.75" style="51" customWidth="1"/>
    <col min="46" max="46" width="14.25" style="11" customWidth="1"/>
    <col min="47" max="47" width="11" style="11"/>
    <col min="48" max="48" width="11" style="11" customWidth="1"/>
    <col min="49" max="49" width="17.75" style="11" customWidth="1"/>
    <col min="50" max="54" width="11" style="11" customWidth="1"/>
    <col min="55" max="57" width="11" style="11" hidden="1" customWidth="1"/>
    <col min="58" max="58" width="11" style="11" customWidth="1"/>
    <col min="59" max="61" width="11" style="11"/>
    <col min="62" max="63" width="15.25" style="11" bestFit="1" customWidth="1"/>
    <col min="64" max="64" width="16.5" style="11" bestFit="1" customWidth="1"/>
    <col min="65" max="65" width="22.25" style="11" bestFit="1" customWidth="1"/>
    <col min="66" max="66" width="16.75" style="11" bestFit="1" customWidth="1"/>
    <col min="67" max="67" width="15.25" style="11" bestFit="1" customWidth="1"/>
    <col min="68" max="68" width="16.75" style="11" bestFit="1" customWidth="1"/>
    <col min="69" max="71" width="15.25" style="11" bestFit="1" customWidth="1"/>
    <col min="72" max="72" width="15.75" style="11" bestFit="1" customWidth="1"/>
    <col min="73" max="73" width="19.75" style="11" bestFit="1" customWidth="1"/>
    <col min="74" max="74" width="20.75" style="11" bestFit="1" customWidth="1"/>
    <col min="75" max="75" width="23.75" style="11" bestFit="1" customWidth="1"/>
    <col min="76" max="76" width="24.25" style="11" bestFit="1" customWidth="1"/>
    <col min="77" max="77" width="19.75" style="11" bestFit="1" customWidth="1"/>
    <col min="78" max="78" width="21.25" style="11" bestFit="1" customWidth="1"/>
    <col min="79" max="79" width="22.75" style="11" bestFit="1" customWidth="1"/>
    <col min="80" max="80" width="20.75" style="11" bestFit="1" customWidth="1"/>
    <col min="81" max="81" width="21.25" style="11" bestFit="1" customWidth="1"/>
    <col min="82" max="82" width="20.25" style="11" bestFit="1" customWidth="1"/>
    <col min="83" max="83" width="21.75" style="11" bestFit="1" customWidth="1"/>
    <col min="84" max="84" width="22.75" style="11" bestFit="1" customWidth="1"/>
    <col min="85" max="85" width="22.25" style="11" bestFit="1" customWidth="1"/>
    <col min="86" max="86" width="22.75" style="11" bestFit="1" customWidth="1"/>
    <col min="87" max="87" width="23.75" style="11" bestFit="1" customWidth="1"/>
    <col min="88" max="88" width="18" style="11" bestFit="1" customWidth="1"/>
    <col min="89" max="89" width="19.75" style="11" bestFit="1" customWidth="1"/>
    <col min="90" max="90" width="19.25" style="11" bestFit="1" customWidth="1"/>
    <col min="91" max="91" width="20.25" style="11" bestFit="1" customWidth="1"/>
    <col min="92" max="92" width="14.75" style="43" customWidth="1"/>
    <col min="93" max="93" width="18" style="11" bestFit="1" customWidth="1"/>
    <col min="94" max="94" width="20.25" style="11" bestFit="1" customWidth="1"/>
    <col min="95" max="96" width="21.75" style="11" bestFit="1" customWidth="1"/>
    <col min="97" max="97" width="22.75" style="11" bestFit="1" customWidth="1"/>
    <col min="98" max="98" width="26.25" style="11" bestFit="1" customWidth="1"/>
    <col min="99" max="99" width="19" style="11" bestFit="1" customWidth="1"/>
    <col min="100" max="100" width="21.75" style="11" bestFit="1" customWidth="1"/>
    <col min="101" max="101" width="21.25" style="11" bestFit="1" customWidth="1"/>
    <col min="102" max="102" width="20.25" style="11" bestFit="1" customWidth="1"/>
    <col min="103" max="103" width="21" style="11" bestFit="1" customWidth="1"/>
    <col min="104" max="104" width="18.25" style="11" bestFit="1" customWidth="1"/>
    <col min="105" max="105" width="21.25" style="11" bestFit="1" customWidth="1"/>
    <col min="106" max="122" width="0" style="11" hidden="1" customWidth="1"/>
    <col min="123" max="133" width="11" style="11"/>
    <col min="134" max="137" width="12.25" style="11" bestFit="1" customWidth="1"/>
    <col min="138" max="139" width="11.75" style="11" bestFit="1" customWidth="1"/>
    <col min="140" max="16384" width="11" style="11"/>
  </cols>
  <sheetData>
    <row r="1" spans="1:149" s="2" customFormat="1" ht="44.25" customHeight="1" thickBot="1">
      <c r="A1" s="2" t="s">
        <v>88</v>
      </c>
      <c r="B1" s="2" t="s">
        <v>0</v>
      </c>
      <c r="C1" s="2" t="s">
        <v>2</v>
      </c>
      <c r="D1" s="17" t="s">
        <v>89</v>
      </c>
      <c r="E1" s="2" t="s">
        <v>3</v>
      </c>
      <c r="F1" s="429" t="s">
        <v>90</v>
      </c>
      <c r="G1" s="2" t="s">
        <v>91</v>
      </c>
      <c r="H1" s="2" t="s">
        <v>4</v>
      </c>
      <c r="I1" s="2" t="s">
        <v>92</v>
      </c>
      <c r="J1" s="2" t="s">
        <v>93</v>
      </c>
      <c r="K1" s="35" t="s">
        <v>94</v>
      </c>
      <c r="L1" s="4" t="s">
        <v>95</v>
      </c>
      <c r="M1" s="3" t="s">
        <v>96</v>
      </c>
      <c r="N1" s="5" t="s">
        <v>5</v>
      </c>
      <c r="O1" s="2" t="s">
        <v>97</v>
      </c>
      <c r="P1" s="2" t="s">
        <v>98</v>
      </c>
      <c r="Q1" s="2" t="s">
        <v>99</v>
      </c>
      <c r="R1" s="2" t="s">
        <v>100</v>
      </c>
      <c r="S1" s="2" t="s">
        <v>101</v>
      </c>
      <c r="T1" s="2" t="s">
        <v>102</v>
      </c>
      <c r="U1" s="5" t="s">
        <v>103</v>
      </c>
      <c r="V1" s="3" t="s">
        <v>104</v>
      </c>
      <c r="W1" s="17" t="s">
        <v>105</v>
      </c>
      <c r="X1" s="2" t="s">
        <v>106</v>
      </c>
      <c r="Y1" s="2" t="s">
        <v>107</v>
      </c>
      <c r="Z1" s="2" t="s">
        <v>108</v>
      </c>
      <c r="AA1" s="2" t="s">
        <v>109</v>
      </c>
      <c r="AB1" s="2" t="s">
        <v>110</v>
      </c>
      <c r="AC1" s="2" t="s">
        <v>111</v>
      </c>
      <c r="AD1" s="2" t="s">
        <v>112</v>
      </c>
      <c r="AE1" s="2" t="s">
        <v>113</v>
      </c>
      <c r="AF1" s="2" t="s">
        <v>114</v>
      </c>
      <c r="AG1" s="17" t="s">
        <v>115</v>
      </c>
      <c r="AH1" s="17" t="s">
        <v>116</v>
      </c>
      <c r="AI1" s="17" t="s">
        <v>117</v>
      </c>
      <c r="AJ1" s="17" t="s">
        <v>118</v>
      </c>
      <c r="AK1" s="5" t="s">
        <v>119</v>
      </c>
      <c r="AL1" s="3" t="s">
        <v>120</v>
      </c>
      <c r="AM1" s="5" t="s">
        <v>121</v>
      </c>
      <c r="AN1" s="5" t="s">
        <v>122</v>
      </c>
      <c r="AO1" s="5" t="s">
        <v>123</v>
      </c>
      <c r="AP1" s="5" t="s">
        <v>124</v>
      </c>
      <c r="AQ1" s="3" t="s">
        <v>125</v>
      </c>
      <c r="AR1" s="3" t="s">
        <v>126</v>
      </c>
      <c r="AS1" s="3" t="s">
        <v>127</v>
      </c>
      <c r="AT1" s="5" t="s">
        <v>128</v>
      </c>
      <c r="AU1" s="6" t="s">
        <v>129</v>
      </c>
      <c r="AV1" s="6" t="s">
        <v>130</v>
      </c>
      <c r="AW1" s="128" t="s">
        <v>131</v>
      </c>
      <c r="AX1" s="6" t="s">
        <v>132</v>
      </c>
      <c r="AY1" s="661" t="s">
        <v>133</v>
      </c>
      <c r="AZ1" s="6" t="s">
        <v>134</v>
      </c>
      <c r="BA1" s="6" t="s">
        <v>135</v>
      </c>
      <c r="BB1" s="6" t="s">
        <v>136</v>
      </c>
      <c r="BC1" s="6" t="s">
        <v>137</v>
      </c>
      <c r="BD1" s="6" t="s">
        <v>137</v>
      </c>
      <c r="BE1" s="6" t="s">
        <v>137</v>
      </c>
      <c r="BF1" s="128" t="s">
        <v>138</v>
      </c>
      <c r="BG1" s="128" t="s">
        <v>139</v>
      </c>
      <c r="BH1" s="128" t="s">
        <v>140</v>
      </c>
      <c r="BI1" s="128"/>
      <c r="BJ1" s="480" t="s">
        <v>141</v>
      </c>
      <c r="BK1" s="480" t="s">
        <v>142</v>
      </c>
      <c r="BL1" s="480" t="s">
        <v>143</v>
      </c>
      <c r="BM1" s="480" t="s">
        <v>144</v>
      </c>
      <c r="BN1" s="480" t="s">
        <v>145</v>
      </c>
      <c r="BO1" s="480" t="s">
        <v>146</v>
      </c>
      <c r="BP1" s="480" t="s">
        <v>147</v>
      </c>
      <c r="BQ1" s="480" t="s">
        <v>148</v>
      </c>
      <c r="BR1" s="480" t="s">
        <v>149</v>
      </c>
      <c r="BS1" s="480" t="s">
        <v>150</v>
      </c>
      <c r="BT1" s="480" t="s">
        <v>151</v>
      </c>
      <c r="BU1" s="6" t="s">
        <v>6</v>
      </c>
      <c r="BV1" s="6" t="s">
        <v>7</v>
      </c>
      <c r="BW1" s="6" t="s">
        <v>8</v>
      </c>
      <c r="BX1" s="6" t="s">
        <v>9</v>
      </c>
      <c r="BY1" s="6" t="s">
        <v>10</v>
      </c>
      <c r="BZ1" s="6" t="s">
        <v>152</v>
      </c>
      <c r="CA1" s="6" t="s">
        <v>11</v>
      </c>
      <c r="CB1" s="6" t="s">
        <v>12</v>
      </c>
      <c r="CC1" s="6" t="s">
        <v>13</v>
      </c>
      <c r="CD1" s="6" t="s">
        <v>14</v>
      </c>
      <c r="CE1" s="6" t="s">
        <v>15</v>
      </c>
      <c r="CF1" s="6" t="s">
        <v>16</v>
      </c>
      <c r="CG1" s="6" t="s">
        <v>17</v>
      </c>
      <c r="CH1" s="6" t="s">
        <v>18</v>
      </c>
      <c r="CI1" s="6" t="s">
        <v>19</v>
      </c>
      <c r="CJ1" s="6" t="s">
        <v>20</v>
      </c>
      <c r="CK1" s="6" t="s">
        <v>21</v>
      </c>
      <c r="CL1" s="6" t="s">
        <v>22</v>
      </c>
      <c r="CM1" s="6" t="s">
        <v>23</v>
      </c>
      <c r="CN1" s="398" t="s">
        <v>153</v>
      </c>
      <c r="CO1" s="6" t="s">
        <v>24</v>
      </c>
      <c r="CP1" s="6" t="s">
        <v>25</v>
      </c>
      <c r="CQ1" s="6" t="s">
        <v>26</v>
      </c>
      <c r="CR1" s="6" t="s">
        <v>27</v>
      </c>
      <c r="CS1" s="6" t="s">
        <v>28</v>
      </c>
      <c r="CT1" s="6" t="s">
        <v>29</v>
      </c>
      <c r="CU1" s="6" t="s">
        <v>30</v>
      </c>
      <c r="CV1" s="6" t="s">
        <v>31</v>
      </c>
      <c r="CW1" s="6" t="s">
        <v>32</v>
      </c>
      <c r="CX1" s="6" t="s">
        <v>33</v>
      </c>
      <c r="CY1" s="6" t="s">
        <v>34</v>
      </c>
      <c r="CZ1" s="6" t="s">
        <v>35</v>
      </c>
      <c r="DA1" s="6" t="s">
        <v>36</v>
      </c>
      <c r="DB1" s="6" t="s">
        <v>154</v>
      </c>
      <c r="DC1" s="6" t="s">
        <v>155</v>
      </c>
      <c r="DD1" s="6" t="s">
        <v>156</v>
      </c>
      <c r="DE1" s="6" t="s">
        <v>157</v>
      </c>
      <c r="DF1" s="6" t="s">
        <v>158</v>
      </c>
      <c r="DG1" s="6" t="s">
        <v>159</v>
      </c>
      <c r="DH1" s="6" t="s">
        <v>160</v>
      </c>
      <c r="DI1" s="6" t="s">
        <v>161</v>
      </c>
      <c r="DJ1" s="6" t="s">
        <v>162</v>
      </c>
      <c r="DK1" s="6" t="s">
        <v>163</v>
      </c>
      <c r="DL1" s="6" t="s">
        <v>164</v>
      </c>
      <c r="DM1" s="6" t="s">
        <v>165</v>
      </c>
      <c r="DN1" s="6" t="s">
        <v>166</v>
      </c>
      <c r="DO1" s="6" t="s">
        <v>167</v>
      </c>
      <c r="DP1" s="6" t="s">
        <v>168</v>
      </c>
      <c r="DQ1" s="6" t="s">
        <v>169</v>
      </c>
      <c r="DR1" s="156" t="s">
        <v>170</v>
      </c>
      <c r="DS1" s="157" t="s">
        <v>171</v>
      </c>
      <c r="DT1" s="157" t="s">
        <v>172</v>
      </c>
      <c r="DU1" s="157" t="s">
        <v>173</v>
      </c>
      <c r="DV1" s="157" t="s">
        <v>174</v>
      </c>
      <c r="DW1" s="157" t="s">
        <v>175</v>
      </c>
      <c r="DX1" s="157" t="s">
        <v>176</v>
      </c>
      <c r="DY1" s="157" t="s">
        <v>177</v>
      </c>
      <c r="DZ1" s="157" t="s">
        <v>178</v>
      </c>
      <c r="EA1" s="157" t="s">
        <v>179</v>
      </c>
      <c r="EB1" s="157" t="s">
        <v>180</v>
      </c>
      <c r="EC1" s="155" t="s">
        <v>181</v>
      </c>
      <c r="ED1" s="157" t="s">
        <v>182</v>
      </c>
      <c r="EE1" s="157" t="s">
        <v>183</v>
      </c>
      <c r="EF1" s="157" t="s">
        <v>184</v>
      </c>
      <c r="EG1" s="157" t="s">
        <v>185</v>
      </c>
      <c r="EH1" s="157" t="s">
        <v>186</v>
      </c>
      <c r="EI1" s="157" t="s">
        <v>187</v>
      </c>
      <c r="EJ1" s="371"/>
      <c r="EK1" s="372"/>
      <c r="EL1" s="373"/>
      <c r="EM1" s="373"/>
      <c r="EN1" s="373"/>
      <c r="EO1" s="373"/>
      <c r="EP1" s="373"/>
      <c r="EQ1" s="373"/>
      <c r="ER1" s="373"/>
      <c r="ES1" s="373"/>
    </row>
    <row r="2" spans="1:149" s="158" customFormat="1" ht="14.25" customHeight="1">
      <c r="D2" s="556"/>
      <c r="K2" s="557"/>
      <c r="L2" s="643"/>
      <c r="M2" s="557"/>
      <c r="N2" s="644"/>
      <c r="U2" s="644"/>
      <c r="V2" s="557"/>
      <c r="W2" s="556"/>
      <c r="AG2" s="556"/>
      <c r="AH2" s="556"/>
      <c r="AI2" s="556"/>
      <c r="AJ2" s="556"/>
      <c r="AK2" s="644"/>
      <c r="AL2" s="557"/>
      <c r="AM2" s="644"/>
      <c r="AN2" s="644"/>
      <c r="AO2" s="644"/>
      <c r="AP2" s="644"/>
      <c r="AQ2" s="737"/>
      <c r="AR2" s="557"/>
      <c r="AS2" s="557"/>
      <c r="AT2" s="644"/>
      <c r="AU2" s="232"/>
      <c r="AV2" s="232"/>
      <c r="AW2" s="232"/>
      <c r="AX2" s="232"/>
      <c r="AY2" s="232"/>
      <c r="AZ2" s="232"/>
      <c r="BA2" s="232"/>
      <c r="BB2" s="232"/>
      <c r="BC2" s="232"/>
      <c r="BD2" s="232"/>
      <c r="BE2" s="232"/>
      <c r="BF2" s="645"/>
      <c r="BG2" s="645"/>
      <c r="BH2" s="645" t="s">
        <v>188</v>
      </c>
      <c r="BI2" s="645"/>
      <c r="BJ2" s="634" t="s">
        <v>189</v>
      </c>
      <c r="BK2" s="634" t="s">
        <v>190</v>
      </c>
      <c r="BL2" s="634"/>
      <c r="BM2" s="634" t="s">
        <v>191</v>
      </c>
      <c r="BN2" s="634" t="s">
        <v>192</v>
      </c>
      <c r="BO2" s="634"/>
      <c r="BP2" s="634"/>
      <c r="BQ2" s="634" t="s">
        <v>193</v>
      </c>
      <c r="BR2" s="634"/>
      <c r="BS2" s="634" t="s">
        <v>194</v>
      </c>
      <c r="BT2" s="635" t="s">
        <v>195</v>
      </c>
      <c r="BU2" s="232"/>
      <c r="BV2" s="232"/>
      <c r="BW2" s="232"/>
      <c r="BX2" s="232"/>
      <c r="BY2" s="232"/>
      <c r="BZ2" s="232"/>
      <c r="CA2" s="232"/>
      <c r="CB2" s="232"/>
      <c r="CC2" s="232"/>
      <c r="CD2" s="232"/>
      <c r="CE2" s="232"/>
      <c r="CF2" s="232"/>
      <c r="CG2" s="232"/>
      <c r="CH2" s="232"/>
      <c r="CI2" s="232"/>
      <c r="CJ2" s="232"/>
      <c r="CK2" s="232"/>
      <c r="CL2" s="232"/>
      <c r="CM2" s="232"/>
      <c r="CN2" s="646"/>
      <c r="CO2" s="232"/>
      <c r="CP2" s="232"/>
      <c r="CQ2" s="232"/>
      <c r="CR2" s="232"/>
      <c r="CS2" s="232"/>
      <c r="CT2" s="232"/>
      <c r="CU2" s="232"/>
      <c r="CV2" s="232"/>
      <c r="CW2" s="232"/>
      <c r="CX2" s="232"/>
      <c r="CY2" s="232"/>
      <c r="CZ2" s="232" t="s">
        <v>196</v>
      </c>
      <c r="DA2" s="232"/>
      <c r="DB2" s="232"/>
      <c r="DC2" s="232"/>
      <c r="DD2" s="232"/>
      <c r="DE2" s="232"/>
      <c r="DF2" s="232"/>
      <c r="DG2" s="232"/>
      <c r="DH2" s="232"/>
      <c r="DI2" s="232"/>
      <c r="DJ2" s="232"/>
      <c r="DK2" s="232"/>
      <c r="DL2" s="232"/>
      <c r="DM2" s="232"/>
      <c r="DN2" s="232"/>
      <c r="DO2" s="232"/>
      <c r="DP2" s="232"/>
      <c r="DQ2" s="232"/>
      <c r="DS2" s="159"/>
      <c r="DT2" s="159"/>
      <c r="DU2" s="159"/>
      <c r="DV2" s="159"/>
      <c r="DW2" s="159"/>
      <c r="DX2" s="159"/>
      <c r="DY2" s="159"/>
      <c r="DZ2" s="159"/>
      <c r="EA2" s="159"/>
      <c r="EB2" s="159"/>
      <c r="EC2" s="160"/>
      <c r="ED2" s="159"/>
      <c r="EE2" s="159"/>
      <c r="EF2" s="159"/>
      <c r="EG2" s="159"/>
      <c r="EH2" s="159"/>
      <c r="EI2" s="159"/>
      <c r="EJ2" s="647"/>
      <c r="EK2" s="648"/>
      <c r="EL2" s="648"/>
      <c r="EM2" s="648"/>
      <c r="EN2" s="648"/>
      <c r="EO2" s="648"/>
      <c r="EP2" s="648"/>
      <c r="EQ2" s="648"/>
      <c r="ER2" s="648"/>
      <c r="ES2" s="648"/>
    </row>
    <row r="3" spans="1:149" s="10" customFormat="1" ht="16.149999999999999" thickBot="1">
      <c r="A3" s="10" t="s">
        <v>197</v>
      </c>
      <c r="B3" s="482" t="s">
        <v>198</v>
      </c>
      <c r="C3" s="10" t="s">
        <v>199</v>
      </c>
      <c r="F3" s="430"/>
      <c r="G3" s="24" t="s">
        <v>202</v>
      </c>
      <c r="H3" s="10" t="s">
        <v>40</v>
      </c>
      <c r="I3" s="10" t="s">
        <v>40</v>
      </c>
      <c r="J3" s="10" t="s">
        <v>203</v>
      </c>
      <c r="K3" s="38" t="s">
        <v>204</v>
      </c>
      <c r="L3" s="10">
        <v>0</v>
      </c>
      <c r="M3" s="10">
        <v>0</v>
      </c>
      <c r="N3" s="10">
        <v>30</v>
      </c>
      <c r="O3" s="10" t="s">
        <v>205</v>
      </c>
      <c r="P3" s="10" t="s">
        <v>206</v>
      </c>
      <c r="Q3" s="10" t="s">
        <v>207</v>
      </c>
      <c r="R3" s="10" t="s">
        <v>208</v>
      </c>
      <c r="S3" s="10" t="s">
        <v>209</v>
      </c>
      <c r="T3" s="10" t="s">
        <v>210</v>
      </c>
      <c r="U3" s="10" t="s">
        <v>211</v>
      </c>
      <c r="V3" s="184">
        <v>29.719554899999999</v>
      </c>
      <c r="W3" s="10">
        <v>31</v>
      </c>
      <c r="X3" s="164">
        <f>W3/((100-AF3)/100)</f>
        <v>34.444444444444443</v>
      </c>
      <c r="Z3" s="10">
        <v>18</v>
      </c>
      <c r="AA3" s="178">
        <f t="shared" ref="AA3:AA29" si="0">Z3/((100-AF3)/100)</f>
        <v>20</v>
      </c>
      <c r="AB3" s="178">
        <v>4</v>
      </c>
      <c r="AC3" s="178">
        <f t="shared" ref="AC3:AC29" si="1">AB3/(100-AD3)*100</f>
        <v>4.3478260869565215</v>
      </c>
      <c r="AD3" s="178">
        <v>8</v>
      </c>
      <c r="AE3" s="178">
        <f t="shared" ref="AE3:AE29" si="2">AD3/(100-AF3)*100</f>
        <v>8.8888888888888893</v>
      </c>
      <c r="AF3" s="10">
        <v>10</v>
      </c>
      <c r="AG3" s="10">
        <v>384</v>
      </c>
      <c r="AH3" s="10">
        <v>86</v>
      </c>
      <c r="AI3" s="10">
        <v>8.8000000000000007</v>
      </c>
      <c r="AJ3" s="10" t="s">
        <v>212</v>
      </c>
      <c r="AK3" s="25">
        <v>128</v>
      </c>
      <c r="AL3" s="10" t="s">
        <v>79</v>
      </c>
      <c r="AM3" s="164">
        <f t="shared" ref="AM3:AM29" si="3">100-(AD3+X3+AF3+Z3+AB3)</f>
        <v>25.555555555555557</v>
      </c>
      <c r="AN3" s="177">
        <f t="shared" ref="AN3:AN29" si="4">(W3*5.7)+(Z3*9.4)+((AM3+AB3)*4.1)</f>
        <v>467.07777777777778</v>
      </c>
      <c r="AO3" s="168">
        <f t="shared" ref="AO3:AO29" si="5">(AN3*(87.9-(0.88*AC3)))/100</f>
        <v>392.69056473429953</v>
      </c>
      <c r="AP3" s="168">
        <f>AO3-(0.77*X3)</f>
        <v>366.16834251207729</v>
      </c>
      <c r="AQ3" s="168">
        <f>(W3*3.5)+(Z3*8.5)+(AM3*3.5)</f>
        <v>350.94444444444446</v>
      </c>
      <c r="AR3" s="739">
        <f>AQ3/(100-AF3)</f>
        <v>3.899382716049383</v>
      </c>
      <c r="AS3" s="962">
        <f t="shared" ref="AS3:AS35" si="6">AT3*(V3/100)</f>
        <v>76.216050242203579</v>
      </c>
      <c r="AT3" s="168">
        <f t="shared" ref="AT3:AT29" si="7">1000/AR3</f>
        <v>256.45084692100681</v>
      </c>
      <c r="AU3" s="10">
        <v>0.74329999999999996</v>
      </c>
      <c r="AV3" s="170">
        <f t="shared" ref="AV3:AV29" si="8">(13.5^0.75)*95</f>
        <v>669.07365798133026</v>
      </c>
      <c r="AW3" s="170">
        <f t="shared" ref="AW3:AW35" si="9">110*(25^0.75)</f>
        <v>1229.8373876248841</v>
      </c>
      <c r="AX3" s="168">
        <f t="shared" ref="AX3:AX29" si="10">AV3*(100/AQ3)</f>
        <v>190.64945137983131</v>
      </c>
      <c r="AY3" s="168">
        <f t="shared" ref="AY3:AY29" si="11">(AU3/100)*AX3</f>
        <v>1.4170973721062861</v>
      </c>
      <c r="AZ3" s="168">
        <f t="shared" ref="AZ3:AZ29" si="12">(AY3*365)/12</f>
        <v>43.103378401566204</v>
      </c>
      <c r="BA3" s="168">
        <f t="shared" ref="BA3:BA29" si="13">AZ3/((100-AF3)/100)</f>
        <v>47.892642668406893</v>
      </c>
      <c r="BB3" s="168">
        <f t="shared" ref="BB3:BB29" si="14">AZ3/(AP3/100)</f>
        <v>11.771465033229772</v>
      </c>
      <c r="BF3" s="10">
        <v>1800</v>
      </c>
      <c r="BG3" s="10">
        <v>1726.5</v>
      </c>
      <c r="BH3" s="10">
        <v>442.76238720911823</v>
      </c>
      <c r="BI3" s="10">
        <f>(BG3/10)*(AQ3/1000)</f>
        <v>60.590558333333334</v>
      </c>
      <c r="BU3" s="113">
        <v>4.6373216901066918</v>
      </c>
      <c r="BV3" s="113">
        <v>6333.7033758231091</v>
      </c>
      <c r="BW3" s="113">
        <v>1163.430270443155</v>
      </c>
      <c r="BX3" s="113">
        <v>9637.1678260973677</v>
      </c>
      <c r="BY3" s="113">
        <v>4672.1258986561425</v>
      </c>
      <c r="BZ3" s="361">
        <v>13980.712346</v>
      </c>
      <c r="CA3" s="113">
        <v>9528.9506835595512</v>
      </c>
      <c r="CB3" s="113">
        <v>15991.793621706734</v>
      </c>
      <c r="CC3" s="113">
        <v>8.9775956959262846</v>
      </c>
      <c r="CD3" s="113">
        <v>0.2995553184529583</v>
      </c>
      <c r="CE3" s="113">
        <v>4.6903930649854512E-3</v>
      </c>
      <c r="CF3" s="113">
        <v>100.38613055019398</v>
      </c>
      <c r="CG3" s="406">
        <v>0.34538440098356998</v>
      </c>
      <c r="CH3" s="113">
        <v>0.68016179353323281</v>
      </c>
      <c r="CI3" s="113">
        <v>51.939483484368964</v>
      </c>
      <c r="CJ3" s="113">
        <v>440.52811388468803</v>
      </c>
      <c r="CK3" s="113">
        <v>0.18015358090852779</v>
      </c>
      <c r="CL3" s="113">
        <v>0.8438876073229874</v>
      </c>
      <c r="CM3" s="113">
        <v>12.756876091043056</v>
      </c>
      <c r="CN3" s="397">
        <v>0.92035277900000001</v>
      </c>
      <c r="CO3" s="113">
        <v>160.34863203963624</v>
      </c>
      <c r="CP3" s="113">
        <v>5.0362649526378325E-2</v>
      </c>
      <c r="CQ3" s="113">
        <v>0.4601805982996533</v>
      </c>
      <c r="CR3" s="113">
        <v>8.1673947947067234</v>
      </c>
      <c r="CS3" s="113">
        <v>12.585444673758602</v>
      </c>
      <c r="CT3" s="113">
        <v>0.98361632633497609</v>
      </c>
      <c r="CU3" s="113">
        <v>9.6776791373675338E-4</v>
      </c>
      <c r="CV3" s="113">
        <v>3.6735696871319036E-2</v>
      </c>
      <c r="CW3" s="113">
        <v>2.9272382940254395E-2</v>
      </c>
      <c r="CX3" s="113">
        <v>4.6749157692774004</v>
      </c>
      <c r="CY3" s="113">
        <v>1.084607055043647E-2</v>
      </c>
      <c r="CZ3" s="113">
        <v>0.27227451080354464</v>
      </c>
      <c r="DA3" s="120">
        <v>6.6686155031522795E-2</v>
      </c>
      <c r="DS3" s="10">
        <v>19.005046018590594</v>
      </c>
      <c r="DT3" s="10">
        <v>20.248888888888889</v>
      </c>
      <c r="DU3" s="10">
        <v>30.193847750653788</v>
      </c>
      <c r="DV3" s="10">
        <v>3.2969508549563553</v>
      </c>
      <c r="DW3" s="10">
        <v>43.779414090645481</v>
      </c>
      <c r="DX3" s="10">
        <v>24.005047356794872</v>
      </c>
      <c r="DY3" s="10">
        <v>6.6899021409341479</v>
      </c>
      <c r="DZ3" s="10">
        <v>11.6414913957935</v>
      </c>
      <c r="EA3" s="10">
        <v>21.292897936192514</v>
      </c>
      <c r="EB3" s="10">
        <v>19.092405939832272</v>
      </c>
      <c r="EC3" s="10">
        <v>5.5160153333001443</v>
      </c>
      <c r="ED3" s="346">
        <v>17.502350352655714</v>
      </c>
      <c r="EE3" s="10">
        <v>10.885415552783224</v>
      </c>
      <c r="EF3" s="10">
        <v>8.5960025165755241</v>
      </c>
      <c r="EG3" s="10">
        <v>14.335815991237677</v>
      </c>
      <c r="EH3" s="168">
        <v>8.5960025165755241</v>
      </c>
      <c r="EI3" s="168">
        <v>14.335815991237677</v>
      </c>
      <c r="EJ3" s="11"/>
      <c r="EK3" s="11"/>
      <c r="EL3" s="11"/>
      <c r="EM3" s="11"/>
      <c r="EN3" s="11"/>
      <c r="EO3" s="11"/>
      <c r="EP3" s="11"/>
      <c r="EQ3" s="11"/>
      <c r="ER3" s="11"/>
      <c r="ES3" s="11"/>
    </row>
    <row r="4" spans="1:149" s="10" customFormat="1" ht="16.5" thickTop="1" thickBot="1">
      <c r="B4" s="482" t="s">
        <v>213</v>
      </c>
      <c r="C4" s="10" t="s">
        <v>199</v>
      </c>
      <c r="F4" s="34"/>
      <c r="G4" s="24" t="s">
        <v>216</v>
      </c>
      <c r="H4" s="10" t="s">
        <v>40</v>
      </c>
      <c r="I4" s="10" t="s">
        <v>40</v>
      </c>
      <c r="J4" s="10" t="s">
        <v>217</v>
      </c>
      <c r="K4" s="10" t="s">
        <v>218</v>
      </c>
      <c r="L4" s="10">
        <v>0</v>
      </c>
      <c r="M4" s="10">
        <v>0</v>
      </c>
      <c r="N4" s="10">
        <v>27.5</v>
      </c>
      <c r="O4" s="10" t="s">
        <v>219</v>
      </c>
      <c r="P4" s="10" t="s">
        <v>220</v>
      </c>
      <c r="Q4" s="10" t="s">
        <v>207</v>
      </c>
      <c r="R4" s="10" t="s">
        <v>208</v>
      </c>
      <c r="S4" s="10" t="s">
        <v>209</v>
      </c>
      <c r="T4" s="10" t="s">
        <v>221</v>
      </c>
      <c r="U4" s="10" t="s">
        <v>211</v>
      </c>
      <c r="V4" s="168">
        <v>27.218351364135742</v>
      </c>
      <c r="W4" s="10">
        <v>25</v>
      </c>
      <c r="X4" s="164">
        <f t="shared" ref="X4:X29" si="15">W4/((100-AF4)/100)</f>
        <v>27.777777777777779</v>
      </c>
      <c r="Z4" s="10">
        <v>10</v>
      </c>
      <c r="AA4" s="178">
        <f>Z4/((100-AF4)/100)</f>
        <v>11.111111111111111</v>
      </c>
      <c r="AB4" s="178">
        <v>2.8</v>
      </c>
      <c r="AC4" s="178">
        <f>AB4/(100-AD4)*100</f>
        <v>2.978723404255319</v>
      </c>
      <c r="AD4" s="178">
        <v>6</v>
      </c>
      <c r="AE4" s="178">
        <f t="shared" si="2"/>
        <v>6.666666666666667</v>
      </c>
      <c r="AF4" s="10">
        <v>10</v>
      </c>
      <c r="AG4" s="10" t="s">
        <v>79</v>
      </c>
      <c r="AH4" s="39">
        <v>40</v>
      </c>
      <c r="AI4" s="39">
        <v>5</v>
      </c>
      <c r="AJ4" s="40" t="s">
        <v>212</v>
      </c>
      <c r="AK4" s="39">
        <v>130</v>
      </c>
      <c r="AL4" s="10">
        <v>100</v>
      </c>
      <c r="AM4" s="164">
        <f t="shared" si="3"/>
        <v>43.422222222222224</v>
      </c>
      <c r="AN4" s="177">
        <f t="shared" si="4"/>
        <v>426.01111111111106</v>
      </c>
      <c r="AO4" s="168">
        <f t="shared" si="5"/>
        <v>363.29683711583925</v>
      </c>
      <c r="AP4" s="168">
        <f t="shared" ref="AP4:AP29" si="16">AO4-(0.77*X4)</f>
        <v>341.90794822695034</v>
      </c>
      <c r="AQ4" s="168">
        <f t="shared" ref="AQ4:AQ29" si="17">(W4*3.5)+(Z4*8.5)+(AM4*3.5)</f>
        <v>324.47777777777776</v>
      </c>
      <c r="AR4" s="739">
        <f t="shared" ref="AR4:AR33" si="18">AQ4/(100-AF4)</f>
        <v>3.6053086419753084</v>
      </c>
      <c r="AS4" s="962">
        <f t="shared" si="6"/>
        <v>75.495204619217034</v>
      </c>
      <c r="AT4" s="168">
        <f t="shared" si="7"/>
        <v>277.36876348320379</v>
      </c>
      <c r="AU4" s="10">
        <v>0.29959999999999998</v>
      </c>
      <c r="AV4" s="170">
        <f t="shared" si="8"/>
        <v>669.07365798133026</v>
      </c>
      <c r="AW4" s="170">
        <f t="shared" si="9"/>
        <v>1229.8373876248841</v>
      </c>
      <c r="AX4" s="168">
        <f t="shared" si="10"/>
        <v>206.20014799273955</v>
      </c>
      <c r="AY4" s="168">
        <f t="shared" si="11"/>
        <v>0.61777564338624769</v>
      </c>
      <c r="AZ4" s="168">
        <f t="shared" si="12"/>
        <v>18.790675819665033</v>
      </c>
      <c r="BA4" s="168">
        <f t="shared" si="13"/>
        <v>20.878528688516703</v>
      </c>
      <c r="BB4" s="168">
        <f t="shared" si="14"/>
        <v>5.4958288969615383</v>
      </c>
      <c r="BF4" s="10">
        <v>2000</v>
      </c>
      <c r="BG4" s="10">
        <v>1748.7</v>
      </c>
      <c r="BH4" s="10">
        <v>485.03475670307847</v>
      </c>
      <c r="BU4" s="113">
        <v>3.0564074213406291</v>
      </c>
      <c r="BV4" s="113">
        <v>3345.5752152059904</v>
      </c>
      <c r="BW4" s="113">
        <v>1239.5226145068298</v>
      </c>
      <c r="BX4" s="113">
        <v>8848.8032787802204</v>
      </c>
      <c r="BY4" s="113">
        <v>3204.1773671537394</v>
      </c>
      <c r="BZ4" s="361">
        <v>5273.1709819999996</v>
      </c>
      <c r="CA4" s="113">
        <v>4412.9241433109655</v>
      </c>
      <c r="CB4" s="113">
        <v>12959.842658709442</v>
      </c>
      <c r="CC4" s="113">
        <v>4.4879868331053352</v>
      </c>
      <c r="CD4" s="113">
        <v>0.13680495868673051</v>
      </c>
      <c r="CE4" s="113" t="e">
        <v>#VALUE!</v>
      </c>
      <c r="CF4" s="113">
        <v>75.457966185362508</v>
      </c>
      <c r="CG4" s="406">
        <v>0.43291842481852216</v>
      </c>
      <c r="CH4" s="113">
        <v>0.60364449268534082</v>
      </c>
      <c r="CI4" s="113">
        <v>43.023992241533854</v>
      </c>
      <c r="CJ4" s="113">
        <v>300.64475030064364</v>
      </c>
      <c r="CK4" s="113">
        <v>0.14533215494701562</v>
      </c>
      <c r="CL4" s="113">
        <v>0.79158040300957611</v>
      </c>
      <c r="CM4" s="113">
        <v>9.6570000084992085</v>
      </c>
      <c r="CN4" s="397">
        <v>0.81192251100000001</v>
      </c>
      <c r="CO4" s="113">
        <v>162.38714684077465</v>
      </c>
      <c r="CP4" s="113">
        <v>0.2564418125919688</v>
      </c>
      <c r="CQ4" s="113">
        <v>0.25879983140082902</v>
      </c>
      <c r="CR4" s="113">
        <v>9.1240605454200931</v>
      </c>
      <c r="CS4" s="113">
        <v>9.0172153677789453</v>
      </c>
      <c r="CT4" s="113">
        <v>0.64910078733875032</v>
      </c>
      <c r="CU4" s="113">
        <v>4.6005494755018608E-3</v>
      </c>
      <c r="CV4" s="113">
        <v>5.346971729378272E-2</v>
      </c>
      <c r="CW4" s="113">
        <v>2.4174197561060897E-2</v>
      </c>
      <c r="CX4" s="113">
        <v>5.3433104093707255</v>
      </c>
      <c r="CY4" s="113">
        <v>3.7626555745554034E-3</v>
      </c>
      <c r="CZ4" s="113">
        <v>1.9313627485933305</v>
      </c>
      <c r="DA4" s="120">
        <v>2.521084517783858E-2</v>
      </c>
      <c r="DS4" s="10">
        <v>14.775786437107927</v>
      </c>
      <c r="DT4" s="10">
        <v>16.065185185185182</v>
      </c>
      <c r="DU4" s="10">
        <v>26.38649476458437</v>
      </c>
      <c r="DV4" s="10">
        <v>3.6862848260193712</v>
      </c>
      <c r="DW4" s="10">
        <v>34.610055708837848</v>
      </c>
      <c r="DX4" s="10">
        <v>20.206856900777684</v>
      </c>
      <c r="DY4" s="10">
        <v>4.8234861758044527</v>
      </c>
      <c r="DZ4" s="10">
        <v>10.485229445506693</v>
      </c>
      <c r="EA4" s="10">
        <v>20.536220681885741</v>
      </c>
      <c r="EB4" s="10">
        <v>12.900207740247749</v>
      </c>
      <c r="EC4" s="10">
        <v>4.6922885448299896</v>
      </c>
      <c r="ED4" s="352">
        <v>10.170620123003623</v>
      </c>
      <c r="EE4" s="365">
        <v>15.674545043285148</v>
      </c>
      <c r="EF4" s="365">
        <v>10.847006673486288</v>
      </c>
      <c r="EG4" s="365">
        <v>8.3917661735875964</v>
      </c>
      <c r="EH4" s="365">
        <v>5.9521269902724692</v>
      </c>
      <c r="EI4" s="365">
        <v>12.537130339539976</v>
      </c>
      <c r="EJ4" s="11"/>
      <c r="EK4" s="11"/>
      <c r="EL4" s="11"/>
      <c r="EM4" s="11"/>
      <c r="EN4" s="11"/>
      <c r="EO4" s="11"/>
      <c r="EP4" s="11"/>
      <c r="EQ4" s="11"/>
      <c r="ER4" s="11"/>
      <c r="ES4" s="11"/>
    </row>
    <row r="5" spans="1:149" s="18" customFormat="1" ht="15" customHeight="1" thickTop="1" thickBot="1">
      <c r="A5" s="10" t="s">
        <v>222</v>
      </c>
      <c r="B5" s="482" t="s">
        <v>223</v>
      </c>
      <c r="C5" s="10" t="s">
        <v>199</v>
      </c>
      <c r="D5" s="10"/>
      <c r="E5" s="27"/>
      <c r="F5" s="23"/>
      <c r="G5" s="24" t="s">
        <v>226</v>
      </c>
      <c r="H5" s="10" t="s">
        <v>40</v>
      </c>
      <c r="I5" s="10" t="s">
        <v>40</v>
      </c>
      <c r="J5" s="10" t="s">
        <v>227</v>
      </c>
      <c r="K5" s="10" t="s">
        <v>228</v>
      </c>
      <c r="L5" s="10">
        <v>0</v>
      </c>
      <c r="M5" s="10">
        <v>0</v>
      </c>
      <c r="N5" s="10">
        <v>40</v>
      </c>
      <c r="O5" s="10" t="s">
        <v>229</v>
      </c>
      <c r="P5" s="10" t="s">
        <v>230</v>
      </c>
      <c r="Q5" s="10" t="s">
        <v>207</v>
      </c>
      <c r="R5" s="10" t="s">
        <v>208</v>
      </c>
      <c r="S5" s="10" t="s">
        <v>209</v>
      </c>
      <c r="T5" s="10" t="s">
        <v>221</v>
      </c>
      <c r="U5" s="10" t="s">
        <v>211</v>
      </c>
      <c r="V5" s="168">
        <v>30.154155731201172</v>
      </c>
      <c r="W5" s="10">
        <v>26</v>
      </c>
      <c r="X5" s="164">
        <f t="shared" si="15"/>
        <v>28.888888888888889</v>
      </c>
      <c r="Y5" s="10"/>
      <c r="Z5" s="10">
        <v>17</v>
      </c>
      <c r="AA5" s="178">
        <f t="shared" si="0"/>
        <v>18.888888888888889</v>
      </c>
      <c r="AB5" s="178">
        <v>3</v>
      </c>
      <c r="AC5" s="178">
        <f t="shared" si="1"/>
        <v>3.225806451612903</v>
      </c>
      <c r="AD5" s="178">
        <v>7</v>
      </c>
      <c r="AE5" s="178">
        <f t="shared" si="2"/>
        <v>7.7777777777777777</v>
      </c>
      <c r="AF5" s="10">
        <v>10</v>
      </c>
      <c r="AG5" s="10" t="s">
        <v>79</v>
      </c>
      <c r="AH5" s="10"/>
      <c r="AI5" s="10">
        <v>117</v>
      </c>
      <c r="AJ5" s="10" t="s">
        <v>231</v>
      </c>
      <c r="AK5" s="10">
        <v>583</v>
      </c>
      <c r="AL5" s="10" t="s">
        <v>79</v>
      </c>
      <c r="AM5" s="164">
        <f t="shared" si="3"/>
        <v>34.111111111111114</v>
      </c>
      <c r="AN5" s="177">
        <f t="shared" si="4"/>
        <v>460.15555555555557</v>
      </c>
      <c r="AO5" s="168">
        <f t="shared" si="5"/>
        <v>391.41425304659498</v>
      </c>
      <c r="AP5" s="168">
        <f t="shared" si="16"/>
        <v>369.16980860215051</v>
      </c>
      <c r="AQ5" s="168">
        <f t="shared" si="17"/>
        <v>354.88888888888891</v>
      </c>
      <c r="AR5" s="739">
        <f t="shared" si="18"/>
        <v>3.94320987654321</v>
      </c>
      <c r="AS5" s="962">
        <f t="shared" si="6"/>
        <v>76.471089988331087</v>
      </c>
      <c r="AT5" s="168">
        <f t="shared" si="7"/>
        <v>253.60050093926111</v>
      </c>
      <c r="AU5" s="10">
        <v>0.47449999999999998</v>
      </c>
      <c r="AV5" s="170">
        <f t="shared" si="8"/>
        <v>669.07365798133026</v>
      </c>
      <c r="AW5" s="170">
        <f t="shared" si="9"/>
        <v>1229.8373876248841</v>
      </c>
      <c r="AX5" s="168">
        <f t="shared" si="10"/>
        <v>188.53046092147687</v>
      </c>
      <c r="AY5" s="168">
        <f t="shared" si="11"/>
        <v>0.89457703707240777</v>
      </c>
      <c r="AZ5" s="168">
        <f t="shared" si="12"/>
        <v>27.210051544285736</v>
      </c>
      <c r="BA5" s="168">
        <f t="shared" si="13"/>
        <v>30.233390604761929</v>
      </c>
      <c r="BB5" s="168">
        <f t="shared" si="14"/>
        <v>7.3706058594866448</v>
      </c>
      <c r="BC5" s="10"/>
      <c r="BD5" s="10"/>
      <c r="BE5" s="10"/>
      <c r="BF5" s="10">
        <v>1575</v>
      </c>
      <c r="BG5" s="130">
        <v>2394</v>
      </c>
      <c r="BH5" s="10">
        <v>607.11959924859104</v>
      </c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13">
        <v>4.536530186323473</v>
      </c>
      <c r="BV5" s="113">
        <v>3390.2274178025486</v>
      </c>
      <c r="BW5" s="113">
        <v>1003.1633934335682</v>
      </c>
      <c r="BX5" s="113">
        <v>9901.3355527395106</v>
      </c>
      <c r="BY5" s="113">
        <v>3283.0230739530843</v>
      </c>
      <c r="BZ5" s="361">
        <v>3634.3104079999998</v>
      </c>
      <c r="CA5" s="113">
        <v>6725.366173066076</v>
      </c>
      <c r="CB5" s="113">
        <v>13873.999073791665</v>
      </c>
      <c r="CC5" s="113">
        <v>1.8445734248943528</v>
      </c>
      <c r="CD5" s="113">
        <v>0.12168633330772188</v>
      </c>
      <c r="CE5" s="113">
        <v>4.5545866884364192E-3</v>
      </c>
      <c r="CF5" s="113">
        <v>82.262719227429884</v>
      </c>
      <c r="CG5" s="406">
        <v>0.24076960979247125</v>
      </c>
      <c r="CH5" s="113">
        <v>0.38946773987161099</v>
      </c>
      <c r="CI5" s="113">
        <v>30.074222781624677</v>
      </c>
      <c r="CJ5" s="113">
        <v>209.03435220341024</v>
      </c>
      <c r="CK5" s="113">
        <v>9.1711208310828379E-2</v>
      </c>
      <c r="CL5" s="113">
        <v>0.52469401812331928</v>
      </c>
      <c r="CM5" s="113">
        <v>16.28212434777102</v>
      </c>
      <c r="CN5" s="397">
        <v>1.0973132649999999</v>
      </c>
      <c r="CO5" s="113">
        <v>167.51852999301926</v>
      </c>
      <c r="CP5" s="113">
        <v>0.21602852924297022</v>
      </c>
      <c r="CQ5" s="113">
        <v>0.51925146347642737</v>
      </c>
      <c r="CR5" s="113">
        <v>7.6574933611498448</v>
      </c>
      <c r="CS5" s="113">
        <v>16.499234888990749</v>
      </c>
      <c r="CT5" s="113">
        <v>0.39981553128422187</v>
      </c>
      <c r="CU5" s="113">
        <v>2.4872150037101439E-2</v>
      </c>
      <c r="CV5" s="113">
        <v>7.6238358641386103E-2</v>
      </c>
      <c r="CW5" s="113">
        <v>2.7977563372153045E-2</v>
      </c>
      <c r="CX5" s="113">
        <v>6.6458380487610453</v>
      </c>
      <c r="CY5" s="113">
        <v>5.915102910103727E-3</v>
      </c>
      <c r="CZ5" s="113">
        <v>0.19127545714704483</v>
      </c>
      <c r="DA5" s="113">
        <v>2.8433572330003844E-2</v>
      </c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>
        <v>15.829186318054857</v>
      </c>
      <c r="DT5" s="10">
        <v>15.682370370370368</v>
      </c>
      <c r="DU5" s="10">
        <v>27.098389181158606</v>
      </c>
      <c r="DV5" s="10">
        <v>2.0386942484754274</v>
      </c>
      <c r="DW5" s="10">
        <v>37.106444299949032</v>
      </c>
      <c r="DX5" s="10">
        <v>22.281284231549009</v>
      </c>
      <c r="DY5" s="10">
        <v>5.1237810349985038</v>
      </c>
      <c r="DZ5" s="10">
        <v>10.728154875717017</v>
      </c>
      <c r="EA5" s="10">
        <v>20.307956376836536</v>
      </c>
      <c r="EB5" s="10">
        <v>15.871970454720323</v>
      </c>
      <c r="EC5" s="10">
        <v>5.579220391297854</v>
      </c>
      <c r="ED5" s="352">
        <v>10.77325035855799</v>
      </c>
      <c r="EE5" s="365">
        <v>15.084966379469886</v>
      </c>
      <c r="EF5" s="365">
        <v>11.399970773052752</v>
      </c>
      <c r="EG5" s="365">
        <v>9.2365829026317368</v>
      </c>
      <c r="EH5" s="365">
        <v>7.6982432367032878</v>
      </c>
      <c r="EI5" s="365">
        <v>13.868127053669221</v>
      </c>
      <c r="EJ5" s="50"/>
      <c r="EK5" s="50"/>
      <c r="EL5" s="50"/>
      <c r="EM5" s="50"/>
      <c r="EN5" s="50"/>
      <c r="EO5" s="50"/>
      <c r="EP5" s="50"/>
      <c r="EQ5" s="50"/>
      <c r="ER5" s="50"/>
      <c r="ES5" s="50"/>
    </row>
    <row r="6" spans="1:149" s="10" customFormat="1" ht="19.149999999999999" customHeight="1" thickTop="1" thickBot="1">
      <c r="A6" s="10" t="s">
        <v>54</v>
      </c>
      <c r="B6" s="482" t="s">
        <v>232</v>
      </c>
      <c r="C6" s="18"/>
      <c r="D6" s="18" t="s">
        <v>211</v>
      </c>
      <c r="E6" s="26"/>
      <c r="F6" s="359"/>
      <c r="G6" s="24" t="s">
        <v>235</v>
      </c>
      <c r="H6" s="22" t="s">
        <v>236</v>
      </c>
      <c r="I6" s="10" t="s">
        <v>40</v>
      </c>
      <c r="J6" s="22" t="s">
        <v>237</v>
      </c>
      <c r="K6" s="18" t="s">
        <v>218</v>
      </c>
      <c r="L6" s="18">
        <v>0</v>
      </c>
      <c r="M6" s="18">
        <v>0</v>
      </c>
      <c r="N6" s="18">
        <v>30</v>
      </c>
      <c r="O6" s="18" t="s">
        <v>238</v>
      </c>
      <c r="P6" s="18" t="s">
        <v>239</v>
      </c>
      <c r="Q6" s="10" t="s">
        <v>207</v>
      </c>
      <c r="R6" s="10" t="s">
        <v>208</v>
      </c>
      <c r="S6" s="10" t="s">
        <v>209</v>
      </c>
      <c r="T6" s="18" t="s">
        <v>210</v>
      </c>
      <c r="U6" s="18" t="s">
        <v>211</v>
      </c>
      <c r="V6" s="168">
        <v>28.873640060424805</v>
      </c>
      <c r="W6" s="18">
        <v>26</v>
      </c>
      <c r="X6" s="164">
        <f>W6/((100-AF6)/100)</f>
        <v>28.888888888888889</v>
      </c>
      <c r="Y6" s="18"/>
      <c r="Z6" s="18">
        <v>15</v>
      </c>
      <c r="AA6" s="178">
        <f t="shared" si="0"/>
        <v>16.666666666666668</v>
      </c>
      <c r="AB6" s="179">
        <v>2.2000000000000002</v>
      </c>
      <c r="AC6" s="178">
        <f t="shared" si="1"/>
        <v>2.3579849946409435</v>
      </c>
      <c r="AD6" s="179">
        <v>6.7</v>
      </c>
      <c r="AE6" s="178">
        <f t="shared" si="2"/>
        <v>7.4444444444444455</v>
      </c>
      <c r="AF6" s="10">
        <v>10</v>
      </c>
      <c r="AG6" s="18" t="s">
        <v>79</v>
      </c>
      <c r="AH6" s="18">
        <v>69</v>
      </c>
      <c r="AI6" s="18">
        <v>13</v>
      </c>
      <c r="AJ6" s="18" t="s">
        <v>212</v>
      </c>
      <c r="AK6" s="18">
        <v>115</v>
      </c>
      <c r="AL6" s="18" t="s">
        <v>79</v>
      </c>
      <c r="AM6" s="164">
        <f t="shared" si="3"/>
        <v>37.211111111111109</v>
      </c>
      <c r="AN6" s="177">
        <f t="shared" si="4"/>
        <v>450.78555555555556</v>
      </c>
      <c r="AO6" s="168">
        <f t="shared" si="5"/>
        <v>386.88658226628564</v>
      </c>
      <c r="AP6" s="168">
        <f t="shared" si="16"/>
        <v>364.64213782184117</v>
      </c>
      <c r="AQ6" s="168">
        <f t="shared" si="17"/>
        <v>348.73888888888888</v>
      </c>
      <c r="AR6" s="739">
        <f t="shared" si="18"/>
        <v>3.8748765432098766</v>
      </c>
      <c r="AS6" s="962">
        <f t="shared" si="6"/>
        <v>74.51499354481733</v>
      </c>
      <c r="AT6" s="168">
        <f t="shared" si="7"/>
        <v>258.07273827919647</v>
      </c>
      <c r="AU6" s="18">
        <v>0.32450000000000001</v>
      </c>
      <c r="AV6" s="170">
        <f t="shared" si="8"/>
        <v>669.07365798133026</v>
      </c>
      <c r="AW6" s="170">
        <f t="shared" si="9"/>
        <v>1229.8373876248841</v>
      </c>
      <c r="AX6" s="168">
        <f t="shared" si="10"/>
        <v>191.85519002857828</v>
      </c>
      <c r="AY6" s="168">
        <f t="shared" si="11"/>
        <v>0.62257009164273647</v>
      </c>
      <c r="AZ6" s="168">
        <f t="shared" si="12"/>
        <v>18.936506954133232</v>
      </c>
      <c r="BA6" s="168">
        <f t="shared" si="13"/>
        <v>21.040563282370258</v>
      </c>
      <c r="BB6" s="168">
        <f t="shared" si="14"/>
        <v>5.1931757166763139</v>
      </c>
      <c r="BC6" s="18"/>
      <c r="BD6" s="18"/>
      <c r="BE6" s="18"/>
      <c r="BF6" s="18">
        <v>1824</v>
      </c>
      <c r="BG6" s="18">
        <v>1540.1</v>
      </c>
      <c r="BH6" s="18">
        <v>397.45782422379045</v>
      </c>
      <c r="BI6" s="18"/>
      <c r="BJ6" s="649"/>
      <c r="BK6" s="649"/>
      <c r="BL6" s="649"/>
      <c r="BM6" s="649"/>
      <c r="BN6" s="649"/>
      <c r="BO6" s="649"/>
      <c r="BP6" s="649"/>
      <c r="BQ6" s="649"/>
      <c r="BR6" s="649"/>
      <c r="BS6" s="649"/>
      <c r="BT6" s="649"/>
      <c r="BU6" s="113">
        <v>2.3589846903363587</v>
      </c>
      <c r="BV6" s="113">
        <v>4115.4044214042178</v>
      </c>
      <c r="BW6" s="113">
        <v>1023.9758124756546</v>
      </c>
      <c r="BX6" s="113">
        <v>11460.099568566651</v>
      </c>
      <c r="BY6" s="113">
        <v>3592.822963542741</v>
      </c>
      <c r="BZ6" s="361">
        <v>7787.2104140000001</v>
      </c>
      <c r="CA6" s="113">
        <v>7302.767286534302</v>
      </c>
      <c r="CB6" s="113">
        <v>8463.7733124916795</v>
      </c>
      <c r="CC6" s="113">
        <v>2.9629191671115853</v>
      </c>
      <c r="CD6" s="113" t="e">
        <v>#VALUE!</v>
      </c>
      <c r="CE6" s="113" t="e">
        <v>#VALUE!</v>
      </c>
      <c r="CF6" s="113">
        <v>23.860601307661508</v>
      </c>
      <c r="CG6" s="406">
        <v>5.4147294258001362E-2</v>
      </c>
      <c r="CH6" s="113">
        <v>0.41653632516498623</v>
      </c>
      <c r="CI6" s="113">
        <v>44.653319713974227</v>
      </c>
      <c r="CJ6" s="113">
        <v>152.42087739847705</v>
      </c>
      <c r="CK6" s="113">
        <v>6.7651180610406952E-2</v>
      </c>
      <c r="CL6" s="113">
        <v>0.50024317115589967</v>
      </c>
      <c r="CM6" s="113">
        <v>15.752270384470835</v>
      </c>
      <c r="CN6" s="397">
        <v>1.4594395920000001</v>
      </c>
      <c r="CO6" s="113">
        <v>124.71063722824806</v>
      </c>
      <c r="CP6" s="113">
        <v>5.0240117810157782E-2</v>
      </c>
      <c r="CQ6" s="113">
        <v>0.33079278599357193</v>
      </c>
      <c r="CR6" s="113">
        <v>6.6438001830339983</v>
      </c>
      <c r="CS6" s="113">
        <v>6.7215857994390102</v>
      </c>
      <c r="CT6" s="113">
        <v>0.29213053333895361</v>
      </c>
      <c r="CU6" s="113">
        <v>6.2084320399083783E-4</v>
      </c>
      <c r="CV6" s="113">
        <v>4.0315784362688616E-2</v>
      </c>
      <c r="CW6" s="113">
        <v>1.8467084499206303E-2</v>
      </c>
      <c r="CX6" s="113">
        <v>3.6376721091430859</v>
      </c>
      <c r="CY6" s="113">
        <v>2.8766997717565405E-3</v>
      </c>
      <c r="CZ6" s="113">
        <v>3.6284575378803585E-2</v>
      </c>
      <c r="DA6" s="113">
        <v>2.01002266417512E-2</v>
      </c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>
        <v>20.63682403040432</v>
      </c>
      <c r="DT6" s="18">
        <v>20.586666666666666</v>
      </c>
      <c r="DU6" s="18">
        <v>32.219633062997971</v>
      </c>
      <c r="DV6" s="18">
        <v>4.3587707760373071</v>
      </c>
      <c r="DW6" s="18">
        <v>54.245364919248544</v>
      </c>
      <c r="DX6" s="18">
        <v>32.148249462886199</v>
      </c>
      <c r="DY6" s="18">
        <v>6.7357805221999056</v>
      </c>
      <c r="DZ6" s="18">
        <v>13.141634799235181</v>
      </c>
      <c r="EA6" s="18">
        <v>31.863679178858092</v>
      </c>
      <c r="EB6" s="18">
        <v>16.710317765638226</v>
      </c>
      <c r="EC6" s="18">
        <v>6.8927863792502606</v>
      </c>
      <c r="ED6" s="352">
        <v>14.736038116537424</v>
      </c>
      <c r="EE6" s="366">
        <v>25.926972507248468</v>
      </c>
      <c r="EF6" s="366">
        <v>14.70727263870622</v>
      </c>
      <c r="EG6" s="366">
        <v>10.84581476860928</v>
      </c>
      <c r="EH6" s="366">
        <v>9.3370372162803097</v>
      </c>
      <c r="EI6" s="366">
        <v>18.492880613362541</v>
      </c>
      <c r="EJ6" s="11"/>
      <c r="EK6" s="11"/>
      <c r="EL6" s="11"/>
      <c r="EM6" s="11"/>
      <c r="EN6" s="11"/>
      <c r="EO6" s="11"/>
      <c r="EP6" s="11"/>
      <c r="EQ6" s="11"/>
      <c r="ER6" s="11"/>
      <c r="ES6" s="11"/>
    </row>
    <row r="7" spans="1:149" s="10" customFormat="1" ht="16.149999999999999" thickTop="1">
      <c r="A7" s="10" t="s">
        <v>240</v>
      </c>
      <c r="B7" s="482" t="s">
        <v>241</v>
      </c>
      <c r="C7" s="10" t="s">
        <v>199</v>
      </c>
      <c r="E7" s="27"/>
      <c r="F7" s="432"/>
      <c r="G7" s="24" t="s">
        <v>244</v>
      </c>
      <c r="H7" s="10" t="s">
        <v>40</v>
      </c>
      <c r="I7" s="10" t="s">
        <v>40</v>
      </c>
      <c r="J7" s="10" t="s">
        <v>227</v>
      </c>
      <c r="K7" s="10" t="s">
        <v>245</v>
      </c>
      <c r="L7" s="10">
        <v>0</v>
      </c>
      <c r="M7" s="10">
        <v>0</v>
      </c>
      <c r="N7" s="10">
        <v>20</v>
      </c>
      <c r="O7" s="10" t="s">
        <v>246</v>
      </c>
      <c r="P7" s="10" t="s">
        <v>247</v>
      </c>
      <c r="Q7" s="10" t="s">
        <v>207</v>
      </c>
      <c r="R7" s="10" t="s">
        <v>208</v>
      </c>
      <c r="S7" s="10" t="s">
        <v>209</v>
      </c>
      <c r="T7" s="10" t="s">
        <v>210</v>
      </c>
      <c r="U7" s="10" t="s">
        <v>211</v>
      </c>
      <c r="V7" s="182">
        <v>33.477325439453125</v>
      </c>
      <c r="W7" s="10">
        <v>26</v>
      </c>
      <c r="X7" s="164">
        <f t="shared" si="15"/>
        <v>28.888888888888889</v>
      </c>
      <c r="Z7" s="10">
        <v>16</v>
      </c>
      <c r="AA7" s="178">
        <f t="shared" si="0"/>
        <v>17.777777777777779</v>
      </c>
      <c r="AB7" s="178">
        <v>2.5</v>
      </c>
      <c r="AC7" s="178">
        <f t="shared" si="1"/>
        <v>2.7027027027027026</v>
      </c>
      <c r="AD7" s="178">
        <v>7.5</v>
      </c>
      <c r="AE7" s="178">
        <f t="shared" si="2"/>
        <v>8.3333333333333321</v>
      </c>
      <c r="AF7" s="10">
        <v>10</v>
      </c>
      <c r="AG7" s="10" t="s">
        <v>79</v>
      </c>
      <c r="AH7" s="10">
        <v>230</v>
      </c>
      <c r="AI7" s="18">
        <v>46</v>
      </c>
      <c r="AJ7" s="18" t="s">
        <v>212</v>
      </c>
      <c r="AK7" s="18">
        <v>390</v>
      </c>
      <c r="AL7" s="10" t="s">
        <v>79</v>
      </c>
      <c r="AM7" s="164">
        <f t="shared" si="3"/>
        <v>35.111111111111114</v>
      </c>
      <c r="AN7" s="177">
        <f t="shared" si="4"/>
        <v>452.80555555555554</v>
      </c>
      <c r="AO7" s="168">
        <f t="shared" si="5"/>
        <v>387.24665390390396</v>
      </c>
      <c r="AP7" s="168">
        <f t="shared" si="16"/>
        <v>365.00220945945949</v>
      </c>
      <c r="AQ7" s="168">
        <f t="shared" si="17"/>
        <v>349.88888888888891</v>
      </c>
      <c r="AR7" s="739">
        <f t="shared" si="18"/>
        <v>3.8876543209876546</v>
      </c>
      <c r="AS7" s="962">
        <f t="shared" si="6"/>
        <v>86.11188823739927</v>
      </c>
      <c r="AT7" s="168">
        <f t="shared" si="7"/>
        <v>257.22451571927593</v>
      </c>
      <c r="AU7" s="10">
        <v>0.39900000000000002</v>
      </c>
      <c r="AV7" s="170">
        <f t="shared" si="8"/>
        <v>669.07365798133026</v>
      </c>
      <c r="AW7" s="170">
        <f t="shared" si="9"/>
        <v>1229.8373876248841</v>
      </c>
      <c r="AX7" s="168">
        <f t="shared" si="10"/>
        <v>191.2246085053024</v>
      </c>
      <c r="AY7" s="168">
        <f t="shared" si="11"/>
        <v>0.76298618793615669</v>
      </c>
      <c r="AZ7" s="168">
        <f t="shared" si="12"/>
        <v>23.207496549724766</v>
      </c>
      <c r="BA7" s="168">
        <f t="shared" si="13"/>
        <v>25.786107277471963</v>
      </c>
      <c r="BB7" s="168">
        <f t="shared" si="14"/>
        <v>6.3581797447454642</v>
      </c>
      <c r="BF7" s="10">
        <v>910</v>
      </c>
      <c r="BG7" s="10">
        <v>955.7</v>
      </c>
      <c r="BH7" s="10">
        <v>245.82946967291204</v>
      </c>
      <c r="BJ7" s="650">
        <v>142.0569608286886</v>
      </c>
      <c r="BK7" s="650">
        <v>14.97403829705895</v>
      </c>
      <c r="BL7" s="650">
        <v>24.958377266038614</v>
      </c>
      <c r="BM7" s="650">
        <v>51.844817177949352</v>
      </c>
      <c r="BN7" s="650">
        <v>44.096926730347114</v>
      </c>
      <c r="BO7" s="650">
        <v>0.22691360598176577</v>
      </c>
      <c r="BP7" s="650">
        <v>0.99384691958332261</v>
      </c>
      <c r="BQ7" s="650">
        <v>17.495664767988821</v>
      </c>
      <c r="BR7" s="650">
        <v>0.18799044984813978</v>
      </c>
      <c r="BS7" s="650">
        <v>559.77468381513893</v>
      </c>
      <c r="BT7" s="650">
        <v>133.86072696904165</v>
      </c>
      <c r="BU7" s="113">
        <v>4.0809245073327221</v>
      </c>
      <c r="BV7" s="113">
        <v>4239.4068771422217</v>
      </c>
      <c r="BW7" s="113">
        <v>944.4730995821061</v>
      </c>
      <c r="BX7" s="113">
        <v>8323.6341618687038</v>
      </c>
      <c r="BY7" s="113">
        <v>3426.4435022663311</v>
      </c>
      <c r="BZ7" s="361">
        <v>9861.1502660000006</v>
      </c>
      <c r="CA7" s="113">
        <v>6916.6043348818876</v>
      </c>
      <c r="CB7" s="113">
        <v>6231.0260350591016</v>
      </c>
      <c r="CC7" s="113">
        <v>3.360328185151237</v>
      </c>
      <c r="CD7" s="113" t="e">
        <v>#VALUE!</v>
      </c>
      <c r="CE7" s="113">
        <v>2.8244568904674614E-2</v>
      </c>
      <c r="CF7" s="113">
        <v>38.18741845291018</v>
      </c>
      <c r="CG7" s="406">
        <v>9.2495977322804776E-2</v>
      </c>
      <c r="CH7" s="113">
        <v>0.40918344151098668</v>
      </c>
      <c r="CI7" s="113">
        <v>84.563473711617235</v>
      </c>
      <c r="CJ7" s="113">
        <v>284.55913186193629</v>
      </c>
      <c r="CK7" s="113">
        <v>0.1526958897374581</v>
      </c>
      <c r="CL7" s="113">
        <v>0.39846314845325387</v>
      </c>
      <c r="CM7" s="113">
        <v>25.035048825872149</v>
      </c>
      <c r="CN7" s="397">
        <v>1.064841964</v>
      </c>
      <c r="CO7" s="113">
        <v>197.11485374672341</v>
      </c>
      <c r="CP7" s="113">
        <v>5.7474245202500579E-2</v>
      </c>
      <c r="CQ7" s="113">
        <v>0.52032185867843073</v>
      </c>
      <c r="CR7" s="113">
        <v>8.5504808052826391</v>
      </c>
      <c r="CS7" s="113">
        <v>6.7316537915899568</v>
      </c>
      <c r="CT7" s="113">
        <v>0.37814933837451742</v>
      </c>
      <c r="CU7" s="113">
        <v>3.4031541577201857E-3</v>
      </c>
      <c r="CV7" s="113">
        <v>6.0887731955050796E-2</v>
      </c>
      <c r="CW7" s="113">
        <v>3.4349286442641555E-2</v>
      </c>
      <c r="CX7" s="113">
        <v>5.9216771644935831</v>
      </c>
      <c r="CY7" s="113">
        <v>3.4394010185609539E-3</v>
      </c>
      <c r="CZ7" s="113">
        <v>3.413217569280446E-2</v>
      </c>
      <c r="DA7" s="113">
        <v>3.511290653070577E-2</v>
      </c>
      <c r="DS7" s="10">
        <v>17.593552818352489</v>
      </c>
      <c r="DT7" s="10">
        <v>17.112888888888889</v>
      </c>
      <c r="DU7" s="10">
        <v>27.569729223693177</v>
      </c>
      <c r="DV7" s="10">
        <v>2.7978954920483079</v>
      </c>
      <c r="DW7" s="10">
        <v>48.804456707027754</v>
      </c>
      <c r="DX7" s="10">
        <v>22.809295851363213</v>
      </c>
      <c r="DY7" s="10">
        <v>5.626357847955215</v>
      </c>
      <c r="DZ7" s="10">
        <v>10.109799235181644</v>
      </c>
      <c r="EA7" s="10">
        <v>22.131548559715849</v>
      </c>
      <c r="EB7" s="10">
        <v>15.751327229360623</v>
      </c>
      <c r="EC7" s="10">
        <v>5.5716632647981275</v>
      </c>
      <c r="ED7" s="352">
        <v>12.362564115030263</v>
      </c>
      <c r="EE7" s="365">
        <v>20.088026156155543</v>
      </c>
      <c r="EF7" s="365">
        <v>11.819280042866188</v>
      </c>
      <c r="EG7" s="365">
        <v>9.2209825937147283</v>
      </c>
      <c r="EH7" s="365">
        <v>8.473348497314042</v>
      </c>
      <c r="EI7" s="365">
        <v>13.963198247535596</v>
      </c>
      <c r="EJ7" s="11"/>
      <c r="EK7" s="11"/>
      <c r="EL7" s="11"/>
      <c r="EM7" s="11"/>
      <c r="EN7" s="11"/>
      <c r="EO7" s="11"/>
      <c r="EP7" s="11"/>
      <c r="EQ7" s="11"/>
      <c r="ER7" s="11"/>
      <c r="ES7" s="11"/>
    </row>
    <row r="8" spans="1:149" s="10" customFormat="1" ht="16.149999999999999" thickBot="1">
      <c r="A8" s="10" t="s">
        <v>43</v>
      </c>
      <c r="B8" s="482" t="s">
        <v>248</v>
      </c>
      <c r="C8" s="10" t="s">
        <v>199</v>
      </c>
      <c r="D8" s="10" t="s">
        <v>211</v>
      </c>
      <c r="F8" s="433"/>
      <c r="G8" s="24" t="s">
        <v>251</v>
      </c>
      <c r="H8" s="10" t="s">
        <v>40</v>
      </c>
      <c r="I8" s="10" t="s">
        <v>40</v>
      </c>
      <c r="J8" s="10" t="s">
        <v>238</v>
      </c>
      <c r="K8" s="40" t="s">
        <v>218</v>
      </c>
      <c r="L8" s="10">
        <v>0</v>
      </c>
      <c r="M8" s="10">
        <v>0</v>
      </c>
      <c r="N8" s="10">
        <v>26</v>
      </c>
      <c r="O8" s="10" t="s">
        <v>252</v>
      </c>
      <c r="P8" s="10" t="s">
        <v>253</v>
      </c>
      <c r="Q8" s="10" t="s">
        <v>207</v>
      </c>
      <c r="R8" s="10" t="s">
        <v>208</v>
      </c>
      <c r="S8" s="10" t="s">
        <v>209</v>
      </c>
      <c r="T8" s="10" t="s">
        <v>221</v>
      </c>
      <c r="U8" s="10" t="s">
        <v>211</v>
      </c>
      <c r="V8" s="168">
        <v>29.918912887573242</v>
      </c>
      <c r="W8" s="10">
        <v>24</v>
      </c>
      <c r="X8" s="164">
        <f t="shared" si="15"/>
        <v>26.666666666666664</v>
      </c>
      <c r="Z8" s="10">
        <v>12</v>
      </c>
      <c r="AA8" s="178">
        <f t="shared" si="0"/>
        <v>13.333333333333332</v>
      </c>
      <c r="AB8" s="178">
        <v>3.1</v>
      </c>
      <c r="AC8" s="178">
        <f t="shared" si="1"/>
        <v>3.2804232804232809</v>
      </c>
      <c r="AD8" s="178">
        <v>5.5</v>
      </c>
      <c r="AE8" s="178">
        <f t="shared" si="2"/>
        <v>6.1111111111111107</v>
      </c>
      <c r="AF8" s="10">
        <v>10</v>
      </c>
      <c r="AG8" s="10" t="s">
        <v>79</v>
      </c>
      <c r="AH8" s="10">
        <v>50</v>
      </c>
      <c r="AI8" s="10">
        <v>11</v>
      </c>
      <c r="AJ8" s="10" t="s">
        <v>212</v>
      </c>
      <c r="AK8" s="10">
        <v>160</v>
      </c>
      <c r="AL8" s="10" t="s">
        <v>79</v>
      </c>
      <c r="AM8" s="164">
        <f t="shared" si="3"/>
        <v>42.733333333333334</v>
      </c>
      <c r="AN8" s="177">
        <f t="shared" si="4"/>
        <v>437.51666666666665</v>
      </c>
      <c r="AO8" s="168">
        <f t="shared" si="5"/>
        <v>371.94703924162263</v>
      </c>
      <c r="AP8" s="168">
        <f t="shared" si="16"/>
        <v>351.41370590828933</v>
      </c>
      <c r="AQ8" s="168">
        <f t="shared" si="17"/>
        <v>335.56666666666666</v>
      </c>
      <c r="AR8" s="739">
        <f t="shared" si="18"/>
        <v>3.7285185185185186</v>
      </c>
      <c r="AS8" s="962">
        <f t="shared" si="6"/>
        <v>80.243433790054382</v>
      </c>
      <c r="AT8" s="168">
        <f t="shared" si="7"/>
        <v>268.20303963444917</v>
      </c>
      <c r="AU8" s="10">
        <v>0.26250000000000001</v>
      </c>
      <c r="AV8" s="170">
        <f t="shared" si="8"/>
        <v>669.07365798133026</v>
      </c>
      <c r="AW8" s="170">
        <f t="shared" si="9"/>
        <v>1229.8373876248841</v>
      </c>
      <c r="AX8" s="168">
        <f t="shared" si="10"/>
        <v>199.38620978881403</v>
      </c>
      <c r="AY8" s="168">
        <f t="shared" si="11"/>
        <v>0.52338880069563687</v>
      </c>
      <c r="AZ8" s="168">
        <f t="shared" si="12"/>
        <v>15.91974268782562</v>
      </c>
      <c r="BA8" s="168">
        <f t="shared" si="13"/>
        <v>17.688602986472912</v>
      </c>
      <c r="BB8" s="168">
        <f t="shared" si="14"/>
        <v>4.5301997105315799</v>
      </c>
      <c r="BF8" s="10">
        <v>2000</v>
      </c>
      <c r="BG8" s="10">
        <v>1311.2</v>
      </c>
      <c r="BH8" s="10">
        <v>351.66782556868981</v>
      </c>
      <c r="BJ8" s="651"/>
      <c r="BK8" s="651"/>
      <c r="BL8" s="651"/>
      <c r="BM8" s="651"/>
      <c r="BN8" s="651"/>
      <c r="BO8" s="651"/>
      <c r="BP8" s="651"/>
      <c r="BQ8" s="651"/>
      <c r="BR8" s="651"/>
      <c r="BS8" s="651"/>
      <c r="BT8" s="651"/>
      <c r="BU8" s="399">
        <v>3.6377909914492657</v>
      </c>
      <c r="BV8" s="399">
        <v>1903.0573116487694</v>
      </c>
      <c r="BW8" s="399">
        <v>1144.4619587536806</v>
      </c>
      <c r="BX8" s="399">
        <v>11408.502783435006</v>
      </c>
      <c r="BY8" s="399">
        <v>3493.2484544766976</v>
      </c>
      <c r="BZ8" s="361">
        <v>2607.4276209999998</v>
      </c>
      <c r="CA8" s="399">
        <v>5175.1358649091399</v>
      </c>
      <c r="CB8" s="399">
        <v>19196.394600740394</v>
      </c>
      <c r="CC8" s="399">
        <v>3.5378593456936507</v>
      </c>
      <c r="CD8" s="399">
        <v>2.1215149081898796E-2</v>
      </c>
      <c r="CE8" s="399">
        <v>6.3959115768254101E-3</v>
      </c>
      <c r="CF8" s="399">
        <v>46.553259255074792</v>
      </c>
      <c r="CG8" s="407">
        <v>0.50268646010307672</v>
      </c>
      <c r="CH8" s="399">
        <v>2.1112458417171012</v>
      </c>
      <c r="CI8" s="399">
        <v>77.862338621120557</v>
      </c>
      <c r="CJ8" s="399">
        <v>149.6599749447204</v>
      </c>
      <c r="CK8" s="399">
        <v>9.2197181731382638E-2</v>
      </c>
      <c r="CL8" s="399">
        <v>0.60996375208745812</v>
      </c>
      <c r="CM8" s="399">
        <v>15.436055336455507</v>
      </c>
      <c r="CN8" s="397">
        <v>0.72252078799999997</v>
      </c>
      <c r="CO8" s="113">
        <v>237.03299606805092</v>
      </c>
      <c r="CP8" s="399">
        <v>0.11981925691361738</v>
      </c>
      <c r="CQ8" s="399">
        <v>0.32702333302717251</v>
      </c>
      <c r="CR8" s="399">
        <v>6.3838806612121504</v>
      </c>
      <c r="CS8" s="399">
        <v>44.788495774178443</v>
      </c>
      <c r="CT8" s="399">
        <v>0.39536857040599016</v>
      </c>
      <c r="CU8" s="399">
        <v>1.8099576536126526E-3</v>
      </c>
      <c r="CV8" s="399">
        <v>0.11604196623190403</v>
      </c>
      <c r="CW8" s="399">
        <v>2.4589042761942858E-2</v>
      </c>
      <c r="CX8" s="399">
        <v>6.5573311162762735</v>
      </c>
      <c r="CY8" s="399">
        <v>4.0326726288838557E-3</v>
      </c>
      <c r="CZ8" s="399">
        <v>0.18762874166497487</v>
      </c>
      <c r="DA8" s="399">
        <v>0.49450245515768576</v>
      </c>
      <c r="DS8" s="10">
        <v>16.557901002793166</v>
      </c>
      <c r="DT8" s="10">
        <v>16.656592592592592</v>
      </c>
      <c r="DU8" s="10">
        <v>25.148311336786296</v>
      </c>
      <c r="DV8" s="10">
        <v>3.6703575272031563</v>
      </c>
      <c r="DW8" s="10">
        <v>37.22714092402861</v>
      </c>
      <c r="DX8" s="10">
        <v>25.071818924561992</v>
      </c>
      <c r="DY8" s="10">
        <v>5.4386735609589332</v>
      </c>
      <c r="DZ8" s="10">
        <v>11.248709369024857</v>
      </c>
      <c r="EA8" s="10">
        <v>25.776210667960129</v>
      </c>
      <c r="EB8" s="10">
        <v>14.174347926444565</v>
      </c>
      <c r="EC8" s="10">
        <v>5.5215114252999458</v>
      </c>
      <c r="ED8" s="352">
        <v>10.484284221017575</v>
      </c>
      <c r="EE8" s="365">
        <v>18.699339927206925</v>
      </c>
      <c r="EF8" s="365">
        <v>12.474450776949679</v>
      </c>
      <c r="EG8" s="365">
        <v>9.6325907443711749</v>
      </c>
      <c r="EH8" s="365">
        <v>7.7663843585152224</v>
      </c>
      <c r="EI8" s="365">
        <v>12.589266155531215</v>
      </c>
      <c r="EJ8" s="11"/>
      <c r="EK8" s="11"/>
      <c r="EL8" s="11"/>
      <c r="EM8" s="11"/>
      <c r="EN8" s="11"/>
      <c r="EO8" s="11"/>
      <c r="EP8" s="11"/>
      <c r="EQ8" s="11"/>
      <c r="ER8" s="11"/>
      <c r="ES8" s="11"/>
    </row>
    <row r="9" spans="1:149" s="10" customFormat="1" ht="16.5" thickTop="1" thickBot="1">
      <c r="A9" s="10" t="s">
        <v>254</v>
      </c>
      <c r="B9" s="481" t="s">
        <v>255</v>
      </c>
      <c r="C9" s="10" t="s">
        <v>199</v>
      </c>
      <c r="E9" s="28"/>
      <c r="F9" s="29"/>
      <c r="G9" s="24" t="s">
        <v>257</v>
      </c>
      <c r="H9" s="10" t="s">
        <v>40</v>
      </c>
      <c r="I9" s="10" t="s">
        <v>40</v>
      </c>
      <c r="J9" s="10" t="s">
        <v>258</v>
      </c>
      <c r="K9" s="10" t="s">
        <v>218</v>
      </c>
      <c r="L9" s="10">
        <v>0</v>
      </c>
      <c r="M9" s="10">
        <v>0</v>
      </c>
      <c r="N9" s="10">
        <v>43</v>
      </c>
      <c r="O9" s="10" t="s">
        <v>259</v>
      </c>
      <c r="P9" s="10" t="s">
        <v>230</v>
      </c>
      <c r="Q9" s="10" t="s">
        <v>207</v>
      </c>
      <c r="R9" s="10" t="s">
        <v>208</v>
      </c>
      <c r="S9" s="10" t="s">
        <v>209</v>
      </c>
      <c r="T9" s="10" t="s">
        <v>260</v>
      </c>
      <c r="U9" s="10" t="s">
        <v>211</v>
      </c>
      <c r="V9" s="184">
        <v>20.496765140000001</v>
      </c>
      <c r="W9" s="10">
        <v>21</v>
      </c>
      <c r="X9" s="164">
        <f>W9/((100-AF9)/100)</f>
        <v>23.333333333333332</v>
      </c>
      <c r="Z9" s="10">
        <v>15</v>
      </c>
      <c r="AA9" s="178">
        <f t="shared" si="0"/>
        <v>16.666666666666668</v>
      </c>
      <c r="AB9" s="178">
        <v>2.5</v>
      </c>
      <c r="AC9" s="178">
        <f t="shared" si="1"/>
        <v>2.6737967914438503</v>
      </c>
      <c r="AD9" s="178">
        <v>6.5</v>
      </c>
      <c r="AE9" s="178">
        <f t="shared" si="2"/>
        <v>7.2222222222222214</v>
      </c>
      <c r="AF9" s="10">
        <v>10</v>
      </c>
      <c r="AG9" s="10">
        <v>381</v>
      </c>
      <c r="AI9" s="10">
        <v>9</v>
      </c>
      <c r="AJ9" s="10" t="s">
        <v>261</v>
      </c>
      <c r="AK9" s="10">
        <v>50</v>
      </c>
      <c r="AL9" s="10">
        <v>1000</v>
      </c>
      <c r="AM9" s="164">
        <f t="shared" si="3"/>
        <v>42.666666666666671</v>
      </c>
      <c r="AN9" s="177">
        <f t="shared" si="4"/>
        <v>445.88333333333333</v>
      </c>
      <c r="AO9" s="168">
        <f t="shared" si="5"/>
        <v>381.44007745098037</v>
      </c>
      <c r="AP9" s="168">
        <f t="shared" si="16"/>
        <v>363.47341078431373</v>
      </c>
      <c r="AQ9" s="168">
        <f t="shared" si="17"/>
        <v>350.33333333333337</v>
      </c>
      <c r="AR9" s="739">
        <f t="shared" si="18"/>
        <v>3.8925925925925928</v>
      </c>
      <c r="AS9" s="962">
        <f t="shared" si="6"/>
        <v>52.655819103710748</v>
      </c>
      <c r="AT9" s="168">
        <f t="shared" si="7"/>
        <v>256.89819219790672</v>
      </c>
      <c r="AU9" s="10">
        <v>0.749</v>
      </c>
      <c r="AV9" s="170">
        <f t="shared" si="8"/>
        <v>669.07365798133026</v>
      </c>
      <c r="AW9" s="170">
        <f t="shared" si="9"/>
        <v>1229.8373876248841</v>
      </c>
      <c r="AX9" s="168">
        <f t="shared" si="10"/>
        <v>190.98201464738256</v>
      </c>
      <c r="AY9" s="168">
        <f t="shared" si="11"/>
        <v>1.4304552897088954</v>
      </c>
      <c r="AZ9" s="168">
        <f t="shared" si="12"/>
        <v>43.509681728645567</v>
      </c>
      <c r="BA9" s="168">
        <f t="shared" si="13"/>
        <v>48.344090809606186</v>
      </c>
      <c r="BB9" s="168">
        <f t="shared" si="14"/>
        <v>11.970526711915207</v>
      </c>
      <c r="BF9" s="10">
        <v>1800</v>
      </c>
      <c r="BG9" s="10">
        <v>1596.9</v>
      </c>
      <c r="BH9" s="10">
        <v>410.24072312083729</v>
      </c>
      <c r="BJ9" s="652">
        <v>17.587299805767795</v>
      </c>
      <c r="BK9" s="652">
        <v>11.625083058055761</v>
      </c>
      <c r="BL9" s="652">
        <v>4.0938317761371614</v>
      </c>
      <c r="BM9" s="652">
        <v>16.681362165410555</v>
      </c>
      <c r="BN9" s="652">
        <v>16.209837026481793</v>
      </c>
      <c r="BO9" s="652">
        <v>6.4687291503435801E-2</v>
      </c>
      <c r="BP9" s="652">
        <v>0.67473156529628864</v>
      </c>
      <c r="BQ9" s="652">
        <v>4.01153323963453</v>
      </c>
      <c r="BR9" s="652">
        <v>9.5490978803889306E-2</v>
      </c>
      <c r="BS9" s="653">
        <v>137.06524876433858</v>
      </c>
      <c r="BT9" s="653">
        <v>31.178261791618663</v>
      </c>
      <c r="BU9" s="113">
        <v>3.6684755828071878</v>
      </c>
      <c r="BV9" s="113">
        <v>1309.1680159197294</v>
      </c>
      <c r="BW9" s="113">
        <v>926.51677601279903</v>
      </c>
      <c r="BX9" s="113">
        <v>9930.9201258028806</v>
      </c>
      <c r="BY9" s="113">
        <v>2773.7570479602778</v>
      </c>
      <c r="BZ9" s="361">
        <v>2354.175291</v>
      </c>
      <c r="CA9" s="113">
        <v>6073.2603665355155</v>
      </c>
      <c r="CB9" s="113">
        <v>13077.264205099829</v>
      </c>
      <c r="CC9" s="113">
        <v>8.8761768212724625</v>
      </c>
      <c r="CD9" s="113">
        <v>0.10177210934919863</v>
      </c>
      <c r="CE9" s="113">
        <v>0.11023751364740163</v>
      </c>
      <c r="CF9" s="113">
        <v>164.76604193516272</v>
      </c>
      <c r="CG9" s="421">
        <v>8.8261314558352577</v>
      </c>
      <c r="CH9" s="113">
        <v>7.124852224922674</v>
      </c>
      <c r="CI9" s="113">
        <v>51.716792806886666</v>
      </c>
      <c r="CJ9" s="113">
        <v>809.62775825373717</v>
      </c>
      <c r="CK9" s="113">
        <v>0.17793843378827959</v>
      </c>
      <c r="CL9" s="113">
        <v>1.5275690326857698</v>
      </c>
      <c r="CM9" s="113">
        <v>18.699953463417181</v>
      </c>
      <c r="CN9" s="397">
        <v>1.2070959750000001</v>
      </c>
      <c r="CO9" s="113">
        <v>105.11787227464515</v>
      </c>
      <c r="CP9" s="113">
        <v>0.13054297732982711</v>
      </c>
      <c r="CQ9" s="113">
        <v>0.28282797145233596</v>
      </c>
      <c r="CR9" s="113">
        <v>5.6678172566341631</v>
      </c>
      <c r="CS9" s="113">
        <v>12.052187418519569</v>
      </c>
      <c r="CT9" s="113">
        <v>0.80037762510005306</v>
      </c>
      <c r="CU9" s="113">
        <v>3.9463663672861483E-3</v>
      </c>
      <c r="CV9" s="113">
        <v>0.42087830017511668</v>
      </c>
      <c r="CW9" s="113">
        <v>4.1152330975599512E-2</v>
      </c>
      <c r="CX9" s="113">
        <v>3.039099846163186</v>
      </c>
      <c r="CY9" s="113">
        <v>2.0966881435162701E-2</v>
      </c>
      <c r="CZ9" s="113">
        <v>0.91713585605627901</v>
      </c>
      <c r="DA9" s="333">
        <v>5.6173683539460901</v>
      </c>
      <c r="DS9" s="10">
        <v>13.169064517606119</v>
      </c>
      <c r="DT9" s="10">
        <v>11.096888888888888</v>
      </c>
      <c r="DU9" s="10">
        <v>22.925930825353856</v>
      </c>
      <c r="DV9" s="10">
        <v>2.0847064450556019</v>
      </c>
      <c r="DW9" s="10">
        <v>26.238968068467393</v>
      </c>
      <c r="DX9" s="10">
        <v>16.693497140436353</v>
      </c>
      <c r="DY9" s="10">
        <v>4.7327721037562496</v>
      </c>
      <c r="DZ9" s="10">
        <v>7.5038718929254298</v>
      </c>
      <c r="EA9" s="10">
        <v>16.457730281172253</v>
      </c>
      <c r="EB9" s="10">
        <v>12.793106101408018</v>
      </c>
      <c r="EC9" s="10">
        <v>4.2209986558470654</v>
      </c>
      <c r="ED9" s="352">
        <v>8.7319639254199384</v>
      </c>
      <c r="EE9" s="365">
        <v>10.887701260512843</v>
      </c>
      <c r="EF9" s="365">
        <v>8.3101855911150064</v>
      </c>
      <c r="EG9" s="365">
        <v>7.1677419354838712</v>
      </c>
      <c r="EH9" s="365">
        <v>3.4087596186420175</v>
      </c>
      <c r="EI9" s="365">
        <v>10.672508214676888</v>
      </c>
      <c r="EJ9" s="11"/>
      <c r="EK9" s="11"/>
      <c r="EL9" s="11"/>
      <c r="EM9" s="11"/>
      <c r="EN9" s="11"/>
      <c r="EO9" s="11"/>
      <c r="EP9" s="11"/>
      <c r="EQ9" s="11"/>
      <c r="ER9" s="11"/>
      <c r="ES9" s="11"/>
    </row>
    <row r="10" spans="1:149" s="10" customFormat="1" ht="16.5" thickTop="1" thickBot="1">
      <c r="A10" s="10" t="s">
        <v>262</v>
      </c>
      <c r="B10" s="481" t="s">
        <v>263</v>
      </c>
      <c r="C10" s="10" t="s">
        <v>199</v>
      </c>
      <c r="E10" s="28"/>
      <c r="F10" s="29"/>
      <c r="G10" s="24" t="s">
        <v>266</v>
      </c>
      <c r="H10" s="10" t="s">
        <v>40</v>
      </c>
      <c r="I10" s="10" t="s">
        <v>40</v>
      </c>
      <c r="J10" s="10" t="s">
        <v>267</v>
      </c>
      <c r="K10" s="10" t="s">
        <v>218</v>
      </c>
      <c r="L10" s="10">
        <v>0</v>
      </c>
      <c r="M10" s="10">
        <v>0</v>
      </c>
      <c r="N10" s="10">
        <v>18</v>
      </c>
      <c r="O10" s="10" t="s">
        <v>268</v>
      </c>
      <c r="P10" s="10" t="s">
        <v>269</v>
      </c>
      <c r="Q10" s="10" t="s">
        <v>207</v>
      </c>
      <c r="R10" s="10" t="s">
        <v>208</v>
      </c>
      <c r="S10" s="10" t="s">
        <v>209</v>
      </c>
      <c r="T10" s="10" t="s">
        <v>210</v>
      </c>
      <c r="U10" s="10" t="s">
        <v>211</v>
      </c>
      <c r="V10" s="168">
        <v>26.870500564575195</v>
      </c>
      <c r="W10" s="10">
        <v>21</v>
      </c>
      <c r="X10" s="164">
        <f t="shared" si="15"/>
        <v>23.333333333333332</v>
      </c>
      <c r="Z10" s="10">
        <v>13</v>
      </c>
      <c r="AA10" s="178">
        <f t="shared" si="0"/>
        <v>14.444444444444445</v>
      </c>
      <c r="AB10" s="178">
        <v>3</v>
      </c>
      <c r="AC10" s="178">
        <f t="shared" si="1"/>
        <v>3.2085561497326207</v>
      </c>
      <c r="AD10" s="178">
        <v>6.5</v>
      </c>
      <c r="AE10" s="178">
        <f t="shared" si="2"/>
        <v>7.2222222222222214</v>
      </c>
      <c r="AF10" s="10">
        <v>10</v>
      </c>
      <c r="AG10" s="10">
        <v>363</v>
      </c>
      <c r="AI10" s="10">
        <v>6.9</v>
      </c>
      <c r="AJ10" s="10" t="s">
        <v>212</v>
      </c>
      <c r="AK10" s="10">
        <v>89.3</v>
      </c>
      <c r="AM10" s="164">
        <f t="shared" si="3"/>
        <v>44.166666666666671</v>
      </c>
      <c r="AN10" s="177">
        <f t="shared" si="4"/>
        <v>435.2833333333333</v>
      </c>
      <c r="AO10" s="168">
        <f t="shared" si="5"/>
        <v>370.32369705882354</v>
      </c>
      <c r="AP10" s="168">
        <f t="shared" si="16"/>
        <v>352.3570303921569</v>
      </c>
      <c r="AQ10" s="168">
        <f t="shared" si="17"/>
        <v>338.58333333333337</v>
      </c>
      <c r="AR10" s="739">
        <f t="shared" si="18"/>
        <v>3.7620370370370373</v>
      </c>
      <c r="AS10" s="962">
        <f t="shared" si="6"/>
        <v>71.425401451492021</v>
      </c>
      <c r="AT10" s="168">
        <f t="shared" si="7"/>
        <v>265.81343834604968</v>
      </c>
      <c r="AU10" s="10">
        <v>0.2369</v>
      </c>
      <c r="AV10" s="170">
        <f t="shared" si="8"/>
        <v>669.07365798133026</v>
      </c>
      <c r="AW10" s="170">
        <f t="shared" si="9"/>
        <v>1229.8373876248841</v>
      </c>
      <c r="AX10" s="168">
        <f t="shared" si="10"/>
        <v>197.60974392754031</v>
      </c>
      <c r="AY10" s="168">
        <f t="shared" si="11"/>
        <v>0.46813748336434297</v>
      </c>
      <c r="AZ10" s="168">
        <f t="shared" si="12"/>
        <v>14.239181785665432</v>
      </c>
      <c r="BA10" s="168">
        <f t="shared" si="13"/>
        <v>15.821313095183813</v>
      </c>
      <c r="BB10" s="168">
        <f t="shared" si="14"/>
        <v>4.0411232237420913</v>
      </c>
      <c r="BF10" s="10">
        <v>1500</v>
      </c>
      <c r="BG10" s="10">
        <v>801.3</v>
      </c>
      <c r="BH10" s="10">
        <v>212.99630814668961</v>
      </c>
      <c r="BJ10" s="651"/>
      <c r="BK10" s="651"/>
      <c r="BL10" s="651"/>
      <c r="BM10" s="651"/>
      <c r="BN10" s="651"/>
      <c r="BO10" s="651"/>
      <c r="BP10" s="651"/>
      <c r="BQ10" s="651"/>
      <c r="BR10" s="651"/>
      <c r="BS10" s="651"/>
      <c r="BT10" s="651"/>
      <c r="BU10" s="113">
        <v>2.3413122906976747</v>
      </c>
      <c r="BV10" s="113">
        <v>7712.4622730041119</v>
      </c>
      <c r="BW10" s="113">
        <v>1083.93663150728</v>
      </c>
      <c r="BX10" s="113">
        <v>8538.6525499692525</v>
      </c>
      <c r="BY10" s="113">
        <v>3868.6046671941972</v>
      </c>
      <c r="BZ10" s="361">
        <v>14172.083988</v>
      </c>
      <c r="CA10" s="113">
        <v>5821.56921253163</v>
      </c>
      <c r="CB10" s="113">
        <v>12130.232684778159</v>
      </c>
      <c r="CC10" s="113">
        <v>7.2751011627907078E-2</v>
      </c>
      <c r="CD10" s="113">
        <v>0.10478082969767442</v>
      </c>
      <c r="CE10" s="113">
        <v>1.6936738255813957E-2</v>
      </c>
      <c r="CF10" s="113">
        <v>53.16252192279071</v>
      </c>
      <c r="CG10" s="406">
        <v>0.11717091545484928</v>
      </c>
      <c r="CH10" s="113">
        <v>0.47509136196169921</v>
      </c>
      <c r="CI10" s="113">
        <v>52.843204132524491</v>
      </c>
      <c r="CJ10" s="113">
        <v>103.37557948290234</v>
      </c>
      <c r="CK10" s="113">
        <v>6.8602339157244591E-2</v>
      </c>
      <c r="CL10" s="113">
        <v>0.73401292056976752</v>
      </c>
      <c r="CM10" s="113">
        <v>12.391479691224987</v>
      </c>
      <c r="CN10" s="397">
        <v>0.96393888500000002</v>
      </c>
      <c r="CO10" s="113">
        <v>131.48830190921191</v>
      </c>
      <c r="CP10" s="113">
        <v>2.4929180783719369E-2</v>
      </c>
      <c r="CQ10" s="113">
        <v>0.46354731622731771</v>
      </c>
      <c r="CR10" s="113">
        <v>3.6225203568023048</v>
      </c>
      <c r="CS10" s="113">
        <v>9.4910995909857334</v>
      </c>
      <c r="CT10" s="113">
        <v>0.43913828933746502</v>
      </c>
      <c r="CU10" s="113">
        <v>2.1048589633062727E-3</v>
      </c>
      <c r="CV10" s="113">
        <v>3.3144098512122279E-2</v>
      </c>
      <c r="CW10" s="113">
        <v>1.8123149415515773E-2</v>
      </c>
      <c r="CX10" s="113">
        <v>4.6668263001976742</v>
      </c>
      <c r="CY10" s="113">
        <v>4.6401306627906983E-3</v>
      </c>
      <c r="CZ10" s="113">
        <v>0.15826765960832853</v>
      </c>
      <c r="DA10" s="120">
        <v>1.0758394639534884E-2</v>
      </c>
      <c r="DS10" s="10">
        <v>11.50048971596474</v>
      </c>
      <c r="DT10" s="10">
        <v>12.350514805650889</v>
      </c>
      <c r="DU10" s="10">
        <v>12.27663538009601</v>
      </c>
      <c r="DV10" s="10">
        <v>2.9314578910120312</v>
      </c>
      <c r="DW10" s="10">
        <v>31.932921131632831</v>
      </c>
      <c r="DX10" s="10">
        <v>17.890588235294114</v>
      </c>
      <c r="DY10" s="10">
        <v>4.6574933490984334</v>
      </c>
      <c r="DZ10" s="10">
        <v>6.8168741298828923</v>
      </c>
      <c r="EA10" s="10">
        <v>12.620324780574329</v>
      </c>
      <c r="EB10" s="10">
        <v>10.191693290734824</v>
      </c>
      <c r="EC10" s="10">
        <v>5.2569847989224554</v>
      </c>
      <c r="ED10" s="352">
        <v>7.9843881856540087</v>
      </c>
      <c r="EE10" s="365">
        <v>16.796849493316508</v>
      </c>
      <c r="EF10" s="365">
        <v>14.833428571428573</v>
      </c>
      <c r="EG10" s="365">
        <v>7.1432482124616961</v>
      </c>
      <c r="EH10" s="365">
        <v>4.9324414715719058</v>
      </c>
      <c r="EI10" s="365">
        <v>9.5257105662833581</v>
      </c>
      <c r="EJ10" s="11"/>
      <c r="EK10" s="11"/>
      <c r="EL10" s="11"/>
      <c r="EM10" s="11"/>
      <c r="EN10" s="11"/>
      <c r="EO10" s="11"/>
      <c r="EP10" s="11"/>
      <c r="EQ10" s="11"/>
      <c r="ER10" s="11"/>
      <c r="ES10" s="11"/>
    </row>
    <row r="11" spans="1:149" s="10" customFormat="1" ht="16.5" thickTop="1" thickBot="1">
      <c r="A11" s="10" t="s">
        <v>68</v>
      </c>
      <c r="B11" s="481" t="s">
        <v>270</v>
      </c>
      <c r="C11" s="10" t="s">
        <v>199</v>
      </c>
      <c r="D11" s="10" t="s">
        <v>211</v>
      </c>
      <c r="F11" s="29"/>
      <c r="G11" s="24" t="s">
        <v>272</v>
      </c>
      <c r="H11" s="10" t="s">
        <v>273</v>
      </c>
      <c r="I11" s="10" t="s">
        <v>40</v>
      </c>
      <c r="J11" s="10" t="s">
        <v>267</v>
      </c>
      <c r="K11" s="10" t="s">
        <v>218</v>
      </c>
      <c r="L11" s="10">
        <v>0</v>
      </c>
      <c r="M11" s="10">
        <v>0</v>
      </c>
      <c r="N11" s="10">
        <v>15</v>
      </c>
      <c r="O11" s="10" t="s">
        <v>274</v>
      </c>
      <c r="P11" s="10" t="s">
        <v>275</v>
      </c>
      <c r="Q11" s="10" t="s">
        <v>207</v>
      </c>
      <c r="R11" s="10" t="s">
        <v>208</v>
      </c>
      <c r="S11" s="10" t="s">
        <v>209</v>
      </c>
      <c r="T11" s="10" t="s">
        <v>221</v>
      </c>
      <c r="U11" s="10" t="s">
        <v>211</v>
      </c>
      <c r="V11" s="168">
        <v>28.691097259521484</v>
      </c>
      <c r="W11" s="10">
        <v>21</v>
      </c>
      <c r="X11" s="164">
        <f>W11/((100-AF11)/100)</f>
        <v>23.333333333333332</v>
      </c>
      <c r="Z11" s="10">
        <v>10</v>
      </c>
      <c r="AA11" s="178">
        <f t="shared" si="0"/>
        <v>11.111111111111111</v>
      </c>
      <c r="AB11" s="178">
        <v>3</v>
      </c>
      <c r="AC11" s="178">
        <f t="shared" si="1"/>
        <v>3.2608695652173911</v>
      </c>
      <c r="AD11" s="178">
        <v>8</v>
      </c>
      <c r="AE11" s="178">
        <f t="shared" si="2"/>
        <v>8.8888888888888893</v>
      </c>
      <c r="AF11" s="10">
        <v>10</v>
      </c>
      <c r="AG11" s="10" t="s">
        <v>79</v>
      </c>
      <c r="AH11" s="10">
        <v>78</v>
      </c>
      <c r="AI11" s="10">
        <v>8</v>
      </c>
      <c r="AJ11" s="10" t="s">
        <v>276</v>
      </c>
      <c r="AK11" s="10">
        <v>110</v>
      </c>
      <c r="AM11" s="164">
        <f t="shared" si="3"/>
        <v>45.666666666666671</v>
      </c>
      <c r="AN11" s="177">
        <f t="shared" si="4"/>
        <v>413.23333333333335</v>
      </c>
      <c r="AO11" s="168">
        <f t="shared" si="5"/>
        <v>351.37410000000006</v>
      </c>
      <c r="AP11" s="168">
        <f t="shared" si="16"/>
        <v>333.40743333333342</v>
      </c>
      <c r="AQ11" s="168">
        <f t="shared" si="17"/>
        <v>318.33333333333337</v>
      </c>
      <c r="AR11" s="739">
        <f t="shared" si="18"/>
        <v>3.5370370370370376</v>
      </c>
      <c r="AS11" s="962">
        <f t="shared" si="6"/>
        <v>81.116191204929848</v>
      </c>
      <c r="AT11" s="168">
        <f t="shared" si="7"/>
        <v>282.72251308900519</v>
      </c>
      <c r="AU11" s="10">
        <v>0.26319999999999999</v>
      </c>
      <c r="AV11" s="170">
        <f t="shared" si="8"/>
        <v>669.07365798133026</v>
      </c>
      <c r="AW11" s="170">
        <f t="shared" si="9"/>
        <v>1229.8373876248841</v>
      </c>
      <c r="AX11" s="168">
        <f t="shared" si="10"/>
        <v>210.18020669570581</v>
      </c>
      <c r="AY11" s="168">
        <f t="shared" si="11"/>
        <v>0.55319430402309766</v>
      </c>
      <c r="AZ11" s="168">
        <f t="shared" si="12"/>
        <v>16.826326747369219</v>
      </c>
      <c r="BA11" s="168">
        <f t="shared" si="13"/>
        <v>18.69591860818802</v>
      </c>
      <c r="BB11" s="168">
        <f t="shared" si="14"/>
        <v>5.0467761258779822</v>
      </c>
      <c r="BF11" s="10">
        <v>1100</v>
      </c>
      <c r="BG11" s="10">
        <v>963.7</v>
      </c>
      <c r="BH11" s="10">
        <v>272.45968586387431</v>
      </c>
      <c r="BJ11" s="652">
        <v>32.522031800688239</v>
      </c>
      <c r="BK11" s="652">
        <v>9.1588596754462888</v>
      </c>
      <c r="BL11" s="652">
        <v>13.611677074081635</v>
      </c>
      <c r="BM11" s="652">
        <v>14.315215889959745</v>
      </c>
      <c r="BN11" s="652">
        <v>26.470955278071969</v>
      </c>
      <c r="BO11" s="652">
        <v>8.5185722416624796E-2</v>
      </c>
      <c r="BP11" s="652">
        <v>0.60807748220971303</v>
      </c>
      <c r="BQ11" s="652">
        <v>7.2488008175870027</v>
      </c>
      <c r="BR11" s="652">
        <v>7.4893292343668025E-2</v>
      </c>
      <c r="BS11" s="653">
        <v>178.39240229522647</v>
      </c>
      <c r="BT11" s="652">
        <v>46.927150537407009</v>
      </c>
      <c r="BU11" s="113">
        <v>3.6952495657894739</v>
      </c>
      <c r="BV11" s="113">
        <v>6554.0250833471473</v>
      </c>
      <c r="BW11" s="113">
        <v>1253.2154071908656</v>
      </c>
      <c r="BX11" s="113">
        <v>10588.918280068134</v>
      </c>
      <c r="BY11" s="113">
        <v>2689.9924958126253</v>
      </c>
      <c r="BZ11" s="361">
        <v>11451.737292</v>
      </c>
      <c r="CA11" s="113">
        <v>6159.7476120484653</v>
      </c>
      <c r="CB11" s="113">
        <v>14253.477754193898</v>
      </c>
      <c r="CC11" s="113">
        <v>1.3915261184210523</v>
      </c>
      <c r="CD11" s="113">
        <v>3.915972118421053E-2</v>
      </c>
      <c r="CE11" s="113" t="e">
        <v>#VALUE!</v>
      </c>
      <c r="CF11" s="113">
        <v>17.230027567894737</v>
      </c>
      <c r="CG11" s="406">
        <v>6.6858290598941703E-2</v>
      </c>
      <c r="CH11" s="113">
        <v>0.11100285021998584</v>
      </c>
      <c r="CI11" s="113">
        <v>29.591231147232126</v>
      </c>
      <c r="CJ11" s="113">
        <v>158.77420682503956</v>
      </c>
      <c r="CK11" s="113">
        <v>4.8478349914081197E-2</v>
      </c>
      <c r="CL11" s="113">
        <v>0.45727767682894738</v>
      </c>
      <c r="CM11" s="113">
        <v>14.605500981694236</v>
      </c>
      <c r="CN11" s="397">
        <v>0.63537282799999995</v>
      </c>
      <c r="CO11" s="113">
        <v>150.00817424404852</v>
      </c>
      <c r="CP11" s="113">
        <v>1.0146722186326158E-2</v>
      </c>
      <c r="CQ11" s="113">
        <v>0.33488933115633901</v>
      </c>
      <c r="CR11" s="113">
        <v>6.2169535932738009</v>
      </c>
      <c r="CS11" s="113">
        <v>11.441520086250163</v>
      </c>
      <c r="CT11" s="113">
        <v>0.68847787535262717</v>
      </c>
      <c r="CU11" s="113">
        <v>1.9742538107317075E-3</v>
      </c>
      <c r="CV11" s="113">
        <v>2.8732162954102348E-2</v>
      </c>
      <c r="CW11" s="113">
        <v>2.6665763379883151E-2</v>
      </c>
      <c r="CX11" s="113">
        <v>7.7438985512763159</v>
      </c>
      <c r="CY11" s="113">
        <v>1.8560923815789476E-3</v>
      </c>
      <c r="CZ11" s="113">
        <v>7.6133148445421503E-2</v>
      </c>
      <c r="DA11" s="120">
        <v>1.2696323407894738E-2</v>
      </c>
      <c r="DS11" s="10">
        <v>10.821625857002937</v>
      </c>
      <c r="DT11" s="10">
        <v>11.819043818341447</v>
      </c>
      <c r="DU11" s="10">
        <v>12.09823027871319</v>
      </c>
      <c r="DV11" s="10">
        <v>3.3006723283793349</v>
      </c>
      <c r="DW11" s="10">
        <v>31.207956420604781</v>
      </c>
      <c r="DX11" s="10">
        <v>16.935815760266369</v>
      </c>
      <c r="DY11" s="10">
        <v>4.8134643807271651</v>
      </c>
      <c r="DZ11" s="10">
        <v>6.6352673818688066</v>
      </c>
      <c r="EA11" s="10">
        <v>11.629432092724548</v>
      </c>
      <c r="EB11" s="10">
        <v>10.121405750798722</v>
      </c>
      <c r="EC11" s="10">
        <v>3.3404656532614969</v>
      </c>
      <c r="ED11" s="352">
        <v>7.160627120046331</v>
      </c>
      <c r="EE11" s="365">
        <v>15.104234848783562</v>
      </c>
      <c r="EF11" s="365">
        <v>6.7249999999999996</v>
      </c>
      <c r="EG11" s="365">
        <v>5.9434218590398364</v>
      </c>
      <c r="EH11" s="365">
        <v>4.7826086956521738</v>
      </c>
      <c r="EI11" s="365">
        <v>8.5699500976350613</v>
      </c>
      <c r="EJ11" s="11"/>
      <c r="EK11" s="11"/>
      <c r="EL11" s="11"/>
      <c r="EM11" s="11"/>
      <c r="EN11" s="11"/>
      <c r="EO11" s="11"/>
      <c r="EP11" s="11"/>
      <c r="EQ11" s="11"/>
      <c r="ER11" s="11"/>
      <c r="ES11" s="11"/>
    </row>
    <row r="12" spans="1:149" s="10" customFormat="1" ht="16.5" thickTop="1" thickBot="1">
      <c r="A12" s="10" t="s">
        <v>277</v>
      </c>
      <c r="B12" s="483" t="s">
        <v>278</v>
      </c>
      <c r="C12" s="10" t="s">
        <v>199</v>
      </c>
      <c r="F12" s="428"/>
      <c r="G12" s="24" t="s">
        <v>281</v>
      </c>
      <c r="H12" s="10" t="s">
        <v>40</v>
      </c>
      <c r="I12" s="10" t="s">
        <v>40</v>
      </c>
      <c r="J12" s="10" t="s">
        <v>238</v>
      </c>
      <c r="K12" s="10" t="s">
        <v>218</v>
      </c>
      <c r="L12" s="10">
        <v>0</v>
      </c>
      <c r="M12" s="10">
        <v>0</v>
      </c>
      <c r="N12" s="10">
        <v>0</v>
      </c>
      <c r="O12" s="10" t="s">
        <v>246</v>
      </c>
      <c r="P12" s="10" t="s">
        <v>282</v>
      </c>
      <c r="Q12" s="10" t="s">
        <v>207</v>
      </c>
      <c r="R12" s="10" t="s">
        <v>208</v>
      </c>
      <c r="S12" s="10" t="s">
        <v>209</v>
      </c>
      <c r="T12" s="10" t="s">
        <v>210</v>
      </c>
      <c r="U12" s="10" t="s">
        <v>211</v>
      </c>
      <c r="V12" s="184">
        <v>20.505861280000001</v>
      </c>
      <c r="W12" s="10">
        <v>21</v>
      </c>
      <c r="X12" s="164">
        <f t="shared" si="15"/>
        <v>23.333333333333332</v>
      </c>
      <c r="Z12" s="10">
        <v>14.2</v>
      </c>
      <c r="AA12" s="178">
        <f t="shared" si="0"/>
        <v>15.777777777777777</v>
      </c>
      <c r="AB12" s="178">
        <v>1.7</v>
      </c>
      <c r="AC12" s="178">
        <f t="shared" si="1"/>
        <v>1.7838405036726128</v>
      </c>
      <c r="AD12" s="178">
        <v>4.7</v>
      </c>
      <c r="AE12" s="178">
        <f t="shared" si="2"/>
        <v>5.2222222222222223</v>
      </c>
      <c r="AF12" s="10">
        <v>10</v>
      </c>
      <c r="AG12" s="10" t="s">
        <v>79</v>
      </c>
      <c r="AH12" s="10">
        <v>83.7</v>
      </c>
      <c r="AI12" s="10">
        <v>8.3000000000000007</v>
      </c>
      <c r="AK12" s="10">
        <v>173</v>
      </c>
      <c r="AM12" s="164">
        <f t="shared" si="3"/>
        <v>46.066666666666663</v>
      </c>
      <c r="AN12" s="177">
        <f t="shared" si="4"/>
        <v>449.02333333333331</v>
      </c>
      <c r="AO12" s="168">
        <f t="shared" si="5"/>
        <v>387.64283311997207</v>
      </c>
      <c r="AP12" s="168">
        <f t="shared" si="16"/>
        <v>369.67616645330543</v>
      </c>
      <c r="AQ12" s="168">
        <f t="shared" si="17"/>
        <v>355.43333333333328</v>
      </c>
      <c r="AR12" s="739">
        <f t="shared" si="18"/>
        <v>3.9492592592592586</v>
      </c>
      <c r="AS12" s="962">
        <f t="shared" si="6"/>
        <v>51.92331000281348</v>
      </c>
      <c r="AT12" s="168">
        <f t="shared" si="7"/>
        <v>253.21204163931355</v>
      </c>
      <c r="AU12" s="10">
        <v>0.72750000000000004</v>
      </c>
      <c r="AV12" s="170">
        <f t="shared" si="8"/>
        <v>669.07365798133026</v>
      </c>
      <c r="AW12" s="170">
        <f t="shared" si="9"/>
        <v>1229.8373876248841</v>
      </c>
      <c r="AX12" s="168">
        <f t="shared" si="10"/>
        <v>188.24167438281827</v>
      </c>
      <c r="AY12" s="168">
        <f t="shared" si="11"/>
        <v>1.3694581811350031</v>
      </c>
      <c r="AZ12" s="168">
        <f t="shared" si="12"/>
        <v>41.654353009523014</v>
      </c>
      <c r="BA12" s="168">
        <f t="shared" si="13"/>
        <v>46.282614455025573</v>
      </c>
      <c r="BB12" s="168">
        <f t="shared" si="14"/>
        <v>11.267795110828294</v>
      </c>
      <c r="BF12" s="10">
        <v>438</v>
      </c>
      <c r="BG12" s="10">
        <v>947.7</v>
      </c>
      <c r="BH12" s="10">
        <v>239.96905186157747</v>
      </c>
      <c r="BJ12" s="652">
        <v>250.53380219748425</v>
      </c>
      <c r="BK12" s="652">
        <v>7.1658718367419487</v>
      </c>
      <c r="BL12" s="652">
        <v>3.9888590247701377</v>
      </c>
      <c r="BM12" s="652">
        <v>20.805512359055385</v>
      </c>
      <c r="BN12" s="652">
        <v>32.097082072981955</v>
      </c>
      <c r="BO12" s="652">
        <v>0.10795089825878958</v>
      </c>
      <c r="BP12" s="652">
        <v>1.7495621501233571</v>
      </c>
      <c r="BQ12" s="652">
        <v>4.4423965922743562</v>
      </c>
      <c r="BR12" s="652">
        <v>0.20386056644865674</v>
      </c>
      <c r="BS12" s="653">
        <v>131.94013993905875</v>
      </c>
      <c r="BT12" s="652">
        <v>63.504237080647577</v>
      </c>
      <c r="BU12" s="113">
        <v>5.220684331637373</v>
      </c>
      <c r="BV12" s="113">
        <v>2579.4651582624874</v>
      </c>
      <c r="BW12" s="113">
        <v>1126.9483264474516</v>
      </c>
      <c r="BX12" s="113">
        <v>6370.2841300967912</v>
      </c>
      <c r="BY12" s="113">
        <v>3128.5741146543696</v>
      </c>
      <c r="BZ12" s="361">
        <v>6254.3005240000002</v>
      </c>
      <c r="CA12" s="113">
        <v>6561.8582638158068</v>
      </c>
      <c r="CB12" s="113">
        <v>8486.5096334466161</v>
      </c>
      <c r="CC12" s="113">
        <v>4.4359111817761328</v>
      </c>
      <c r="CD12" s="113">
        <v>0.14866575353839037</v>
      </c>
      <c r="CE12" s="113" t="e">
        <v>#VALUE!</v>
      </c>
      <c r="CF12" s="113">
        <v>43.186712284690095</v>
      </c>
      <c r="CG12" s="406">
        <v>8.6599937659714826E-2</v>
      </c>
      <c r="CH12" s="113">
        <v>0.33470749503023728</v>
      </c>
      <c r="CI12" s="113">
        <v>23.168990234349149</v>
      </c>
      <c r="CJ12" s="113">
        <v>165.28795660512279</v>
      </c>
      <c r="CK12" s="113">
        <v>9.6830205863590854E-2</v>
      </c>
      <c r="CL12" s="113">
        <v>0.63469634257631813</v>
      </c>
      <c r="CM12" s="113">
        <v>12.036567390571099</v>
      </c>
      <c r="CN12" s="397">
        <v>0.42587981499999999</v>
      </c>
      <c r="CO12" s="113">
        <v>148.65572111240544</v>
      </c>
      <c r="CP12" s="113">
        <v>4.4738837989937823E-2</v>
      </c>
      <c r="CQ12" s="113">
        <v>0.24360892559869779</v>
      </c>
      <c r="CR12" s="113">
        <v>4.4313074509803299</v>
      </c>
      <c r="CS12" s="113">
        <v>12.981814527317539</v>
      </c>
      <c r="CT12" s="113">
        <v>0.53639197147593387</v>
      </c>
      <c r="CU12" s="113">
        <v>1.6448172522058712E-3</v>
      </c>
      <c r="CV12" s="113">
        <v>2.86604961696517E-2</v>
      </c>
      <c r="CW12" s="113">
        <v>2.299939896568574E-2</v>
      </c>
      <c r="CX12" s="113">
        <v>13.707408555388529</v>
      </c>
      <c r="CY12" s="113">
        <v>3.5630081059204442E-3</v>
      </c>
      <c r="CZ12" s="113">
        <v>7.3001657691398381E-2</v>
      </c>
      <c r="DA12" s="120">
        <v>1.2491997328862164E-2</v>
      </c>
      <c r="DS12" s="10">
        <v>14.558726738491673</v>
      </c>
      <c r="DT12" s="10">
        <v>11.521142948359804</v>
      </c>
      <c r="DU12" s="10">
        <v>13.997277351866446</v>
      </c>
      <c r="DV12" s="10">
        <v>2.5229653220099082</v>
      </c>
      <c r="DW12" s="10">
        <v>38.417046064534084</v>
      </c>
      <c r="DX12" s="10">
        <v>14.984384017758044</v>
      </c>
      <c r="DY12" s="10">
        <v>5.4427579071829726</v>
      </c>
      <c r="DZ12" s="10">
        <v>7.3134550814839079</v>
      </c>
      <c r="EA12" s="10">
        <v>15.610257194409614</v>
      </c>
      <c r="EB12" s="10">
        <v>13.044728434504792</v>
      </c>
      <c r="EC12" s="10">
        <v>5.2191456609582456</v>
      </c>
      <c r="ED12" s="352">
        <v>9.8210391329527589</v>
      </c>
      <c r="EE12" s="365">
        <v>14.887315168960212</v>
      </c>
      <c r="EF12" s="365">
        <v>11.778357142857143</v>
      </c>
      <c r="EG12" s="365">
        <v>7.3588661899897856</v>
      </c>
      <c r="EH12" s="365">
        <v>6.8147157190635452</v>
      </c>
      <c r="EI12" s="365">
        <v>9.7213278368409632</v>
      </c>
      <c r="EJ12" s="11"/>
      <c r="EK12" s="11"/>
      <c r="EL12" s="11"/>
      <c r="EM12" s="11"/>
      <c r="EN12" s="11"/>
      <c r="EO12" s="11"/>
      <c r="EP12" s="11"/>
      <c r="EQ12" s="11"/>
      <c r="ER12" s="11"/>
      <c r="ES12" s="11"/>
    </row>
    <row r="13" spans="1:149" s="10" customFormat="1" ht="16.149999999999999" thickBot="1">
      <c r="A13" s="10" t="s">
        <v>283</v>
      </c>
      <c r="B13" s="483" t="s">
        <v>284</v>
      </c>
      <c r="C13" s="10" t="s">
        <v>199</v>
      </c>
      <c r="F13" s="427"/>
      <c r="G13" s="24" t="s">
        <v>287</v>
      </c>
      <c r="H13" s="10" t="s">
        <v>40</v>
      </c>
      <c r="I13" s="10" t="s">
        <v>40</v>
      </c>
      <c r="J13" s="10" t="s">
        <v>288</v>
      </c>
      <c r="K13" s="10" t="s">
        <v>218</v>
      </c>
      <c r="L13" s="10">
        <v>0</v>
      </c>
      <c r="M13" s="10">
        <v>0</v>
      </c>
      <c r="N13" s="10">
        <v>27</v>
      </c>
      <c r="O13" s="10" t="s">
        <v>289</v>
      </c>
      <c r="P13" s="10" t="s">
        <v>290</v>
      </c>
      <c r="Q13" s="10" t="s">
        <v>207</v>
      </c>
      <c r="R13" s="10" t="s">
        <v>208</v>
      </c>
      <c r="S13" s="10" t="s">
        <v>209</v>
      </c>
      <c r="T13" s="10" t="s">
        <v>260</v>
      </c>
      <c r="U13" s="10" t="s">
        <v>211</v>
      </c>
      <c r="V13" s="168">
        <v>25.310579299926758</v>
      </c>
      <c r="W13" s="10">
        <v>23</v>
      </c>
      <c r="X13" s="164">
        <f t="shared" si="15"/>
        <v>25.555555555555554</v>
      </c>
      <c r="Z13" s="10">
        <v>9</v>
      </c>
      <c r="AA13" s="178">
        <f t="shared" si="0"/>
        <v>10</v>
      </c>
      <c r="AB13" s="178">
        <v>3.5</v>
      </c>
      <c r="AC13" s="178">
        <f t="shared" si="1"/>
        <v>3.763440860215054</v>
      </c>
      <c r="AD13" s="178">
        <v>7</v>
      </c>
      <c r="AE13" s="178">
        <f t="shared" si="2"/>
        <v>7.7777777777777777</v>
      </c>
      <c r="AF13" s="10">
        <v>10</v>
      </c>
      <c r="AG13" s="10">
        <v>347</v>
      </c>
      <c r="AI13" s="10">
        <v>9</v>
      </c>
      <c r="AJ13" s="10" t="s">
        <v>291</v>
      </c>
      <c r="AK13" s="10">
        <v>100</v>
      </c>
      <c r="AM13" s="164">
        <f t="shared" si="3"/>
        <v>44.944444444444443</v>
      </c>
      <c r="AN13" s="177">
        <f t="shared" si="4"/>
        <v>414.32222222222219</v>
      </c>
      <c r="AO13" s="168">
        <f t="shared" si="5"/>
        <v>350.46759414575865</v>
      </c>
      <c r="AP13" s="168">
        <f t="shared" si="16"/>
        <v>330.78981636798085</v>
      </c>
      <c r="AQ13" s="168">
        <f t="shared" si="17"/>
        <v>314.30555555555554</v>
      </c>
      <c r="AR13" s="739">
        <f t="shared" si="18"/>
        <v>3.492283950617284</v>
      </c>
      <c r="AS13" s="962">
        <f t="shared" si="6"/>
        <v>72.475719780612181</v>
      </c>
      <c r="AT13" s="168">
        <f t="shared" si="7"/>
        <v>286.34555899248784</v>
      </c>
      <c r="AU13" s="10">
        <v>0.749</v>
      </c>
      <c r="AV13" s="170">
        <f t="shared" si="8"/>
        <v>669.07365798133026</v>
      </c>
      <c r="AW13" s="170">
        <f t="shared" si="9"/>
        <v>1229.8373876248841</v>
      </c>
      <c r="AX13" s="168">
        <f t="shared" si="10"/>
        <v>212.87363400201406</v>
      </c>
      <c r="AY13" s="168">
        <f t="shared" si="11"/>
        <v>1.5944235186750852</v>
      </c>
      <c r="AZ13" s="168">
        <f t="shared" si="12"/>
        <v>48.49704869303384</v>
      </c>
      <c r="BA13" s="168">
        <f t="shared" si="13"/>
        <v>53.885609658926484</v>
      </c>
      <c r="BB13" s="168">
        <f t="shared" si="14"/>
        <v>14.66098600782928</v>
      </c>
      <c r="BF13" s="10">
        <v>1800</v>
      </c>
      <c r="BG13" s="10">
        <v>1200.9000000000001</v>
      </c>
      <c r="BH13" s="10">
        <v>343.87238179407865</v>
      </c>
      <c r="BJ13" s="650">
        <v>4.2459453550000008</v>
      </c>
      <c r="BK13" s="654">
        <v>7.38004324</v>
      </c>
      <c r="BL13" s="650">
        <v>0.57262067999999999</v>
      </c>
      <c r="BM13" s="650">
        <v>22.324767400000002</v>
      </c>
      <c r="BN13" s="655">
        <v>11.82987003</v>
      </c>
      <c r="BO13" s="650">
        <v>3.3264839999999997E-2</v>
      </c>
      <c r="BP13" s="650">
        <v>8.1743256E-2</v>
      </c>
      <c r="BQ13" s="650">
        <v>2.7014662400000002</v>
      </c>
      <c r="BR13" s="650">
        <v>8.5264190000000004E-2</v>
      </c>
      <c r="BS13" s="654">
        <v>332.81560000000002</v>
      </c>
      <c r="BT13" s="654">
        <v>35.239880000000007</v>
      </c>
      <c r="BU13" s="113">
        <v>6.0575065335538758</v>
      </c>
      <c r="BV13" s="113">
        <v>700.06258960172579</v>
      </c>
      <c r="BW13" s="113">
        <v>993.75878394374388</v>
      </c>
      <c r="BX13" s="113">
        <v>7524.6480299616651</v>
      </c>
      <c r="BY13" s="113">
        <v>2780.9627470111577</v>
      </c>
      <c r="BZ13" s="361">
        <v>2165.5589359999999</v>
      </c>
      <c r="CA13" s="113">
        <v>8284.9859929945669</v>
      </c>
      <c r="CB13" s="113">
        <v>10475.753488631439</v>
      </c>
      <c r="CC13" s="113">
        <v>7.1897719636105846</v>
      </c>
      <c r="CD13" s="113">
        <v>0.13097454378544424</v>
      </c>
      <c r="CE13" s="113">
        <v>5.5347253780718329E-2</v>
      </c>
      <c r="CF13" s="113">
        <v>140.91676649078451</v>
      </c>
      <c r="CG13" s="421">
        <v>4.3013117602021547</v>
      </c>
      <c r="CH13" s="113">
        <v>3.3836802903799086</v>
      </c>
      <c r="CI13" s="113">
        <v>32.297901227997052</v>
      </c>
      <c r="CJ13" s="113">
        <v>314.38319882000985</v>
      </c>
      <c r="CK13" s="113">
        <v>0.15186483714827853</v>
      </c>
      <c r="CL13" s="113">
        <v>1.2185518796313799</v>
      </c>
      <c r="CM13" s="113">
        <v>18.696205337874378</v>
      </c>
      <c r="CN13" s="397">
        <v>0.47066524700000001</v>
      </c>
      <c r="CO13" s="113">
        <v>68.87912894066217</v>
      </c>
      <c r="CP13" s="113">
        <v>0.10245877260863086</v>
      </c>
      <c r="CQ13" s="113">
        <v>0.1520700288710809</v>
      </c>
      <c r="CR13" s="113">
        <v>4.3377595903558062</v>
      </c>
      <c r="CS13" s="113">
        <v>14.310479618337208</v>
      </c>
      <c r="CT13" s="113">
        <v>0.96552298250474622</v>
      </c>
      <c r="CU13" s="113">
        <v>6.9543051267118303E-3</v>
      </c>
      <c r="CV13" s="113">
        <v>0.25601593904634973</v>
      </c>
      <c r="CW13" s="113">
        <v>2.6772135694068774E-2</v>
      </c>
      <c r="CX13" s="113">
        <v>4.7878116007797731</v>
      </c>
      <c r="CY13" s="113">
        <v>1.2681610243383741E-2</v>
      </c>
      <c r="CZ13" s="113">
        <v>0.24658013113101052</v>
      </c>
      <c r="DA13" s="333">
        <v>2.6014497716327978</v>
      </c>
      <c r="DS13" s="10">
        <v>9.6805093046033299</v>
      </c>
      <c r="DT13" s="10">
        <v>12.038758081251496</v>
      </c>
      <c r="DU13" s="10">
        <v>18.46815218170094</v>
      </c>
      <c r="DV13" s="10">
        <v>2.6957891012031143</v>
      </c>
      <c r="DW13" s="10">
        <v>27.466530149704763</v>
      </c>
      <c r="DX13" s="10">
        <v>11.826859045504992</v>
      </c>
      <c r="DY13" s="10">
        <v>5.329160508424474</v>
      </c>
      <c r="DZ13" s="10">
        <v>8.98669642125952</v>
      </c>
      <c r="EA13" s="10">
        <v>14.263185418514327</v>
      </c>
      <c r="EB13" s="10">
        <v>13.412140575079871</v>
      </c>
      <c r="EC13" s="10">
        <v>4.2193958052722724</v>
      </c>
      <c r="ED13" s="352">
        <v>9.6308596012244561</v>
      </c>
      <c r="EE13" s="365">
        <v>10.040282323252237</v>
      </c>
      <c r="EF13" s="365">
        <v>5.8027142857142859</v>
      </c>
      <c r="EG13" s="365">
        <v>7.6745556690500516</v>
      </c>
      <c r="EH13" s="365">
        <v>5.7123745819397991</v>
      </c>
      <c r="EI13" s="365">
        <v>10.820611846387502</v>
      </c>
      <c r="EJ13" s="11"/>
      <c r="EK13" s="11"/>
      <c r="EL13" s="11"/>
      <c r="EM13" s="11"/>
      <c r="EN13" s="11"/>
      <c r="EO13" s="11"/>
      <c r="EP13" s="11"/>
      <c r="EQ13" s="11"/>
      <c r="ER13" s="11"/>
      <c r="ES13" s="11"/>
    </row>
    <row r="14" spans="1:149" s="10" customFormat="1" ht="16.149999999999999" thickBot="1">
      <c r="A14" s="10" t="s">
        <v>292</v>
      </c>
      <c r="B14" s="483" t="s">
        <v>293</v>
      </c>
      <c r="C14" s="10" t="s">
        <v>199</v>
      </c>
      <c r="F14" s="425"/>
      <c r="G14" s="24" t="s">
        <v>296</v>
      </c>
      <c r="H14" s="10" t="s">
        <v>40</v>
      </c>
      <c r="I14" s="10" t="s">
        <v>40</v>
      </c>
      <c r="J14" s="10" t="s">
        <v>288</v>
      </c>
      <c r="K14" s="10" t="s">
        <v>228</v>
      </c>
      <c r="L14" s="10">
        <v>0</v>
      </c>
      <c r="M14" s="10">
        <v>0</v>
      </c>
      <c r="N14" s="10">
        <v>34</v>
      </c>
      <c r="O14" s="10" t="s">
        <v>229</v>
      </c>
      <c r="P14" s="10" t="s">
        <v>238</v>
      </c>
      <c r="Q14" s="10" t="s">
        <v>207</v>
      </c>
      <c r="R14" s="10" t="s">
        <v>208</v>
      </c>
      <c r="S14" s="10" t="s">
        <v>209</v>
      </c>
      <c r="T14" s="10" t="s">
        <v>221</v>
      </c>
      <c r="U14" s="10" t="s">
        <v>211</v>
      </c>
      <c r="V14" s="168">
        <v>30.837608337402344</v>
      </c>
      <c r="W14" s="10">
        <v>25</v>
      </c>
      <c r="X14" s="164">
        <f t="shared" si="15"/>
        <v>27.777777777777779</v>
      </c>
      <c r="Z14" s="10">
        <v>16</v>
      </c>
      <c r="AA14" s="178">
        <f t="shared" si="0"/>
        <v>17.777777777777779</v>
      </c>
      <c r="AB14" s="178">
        <v>2.5</v>
      </c>
      <c r="AC14" s="178">
        <f t="shared" si="1"/>
        <v>2.7442371020856204</v>
      </c>
      <c r="AD14" s="178">
        <v>8.9</v>
      </c>
      <c r="AE14" s="178">
        <f t="shared" si="2"/>
        <v>9.8888888888888893</v>
      </c>
      <c r="AF14" s="10">
        <v>10</v>
      </c>
      <c r="AG14" s="10" t="s">
        <v>79</v>
      </c>
      <c r="AI14" s="10">
        <v>8</v>
      </c>
      <c r="AJ14" s="10" t="s">
        <v>291</v>
      </c>
      <c r="AK14" s="10">
        <v>90</v>
      </c>
      <c r="AM14" s="164">
        <f t="shared" si="3"/>
        <v>34.822222222222223</v>
      </c>
      <c r="AN14" s="177">
        <f t="shared" si="4"/>
        <v>445.92111111111109</v>
      </c>
      <c r="AO14" s="168">
        <f t="shared" si="5"/>
        <v>381.19597999878033</v>
      </c>
      <c r="AP14" s="168">
        <f t="shared" si="16"/>
        <v>359.80709110989142</v>
      </c>
      <c r="AQ14" s="168">
        <f t="shared" si="17"/>
        <v>345.37777777777779</v>
      </c>
      <c r="AR14" s="739">
        <f t="shared" si="18"/>
        <v>3.837530864197531</v>
      </c>
      <c r="AS14" s="962">
        <f t="shared" si="6"/>
        <v>80.357942199510674</v>
      </c>
      <c r="AT14" s="168">
        <f t="shared" si="7"/>
        <v>260.58422339467251</v>
      </c>
      <c r="AU14" s="10">
        <v>0.44950000000000001</v>
      </c>
      <c r="AV14" s="170">
        <f t="shared" si="8"/>
        <v>669.07365798133026</v>
      </c>
      <c r="AW14" s="170">
        <f t="shared" si="9"/>
        <v>1229.8373876248841</v>
      </c>
      <c r="AX14" s="168">
        <f t="shared" si="10"/>
        <v>193.72226617655295</v>
      </c>
      <c r="AY14" s="168">
        <f t="shared" si="11"/>
        <v>0.87078158646360548</v>
      </c>
      <c r="AZ14" s="168">
        <f t="shared" si="12"/>
        <v>26.48627325493467</v>
      </c>
      <c r="BA14" s="168">
        <f t="shared" si="13"/>
        <v>29.429192505482966</v>
      </c>
      <c r="BB14" s="168">
        <f t="shared" si="14"/>
        <v>7.3612427073721278</v>
      </c>
      <c r="BF14" s="10">
        <v>1350</v>
      </c>
      <c r="BG14" s="10">
        <v>1768.2</v>
      </c>
      <c r="BH14" s="10">
        <v>460.76502380645991</v>
      </c>
      <c r="BJ14" s="651"/>
      <c r="BK14" s="651"/>
      <c r="BL14" s="651"/>
      <c r="BM14" s="651"/>
      <c r="BN14" s="651"/>
      <c r="BO14" s="651"/>
      <c r="BP14" s="651"/>
      <c r="BQ14" s="651"/>
      <c r="BR14" s="651"/>
      <c r="BS14" s="651"/>
      <c r="BT14" s="651"/>
      <c r="BU14" s="113">
        <v>3.804417882011605</v>
      </c>
      <c r="BV14" s="113">
        <v>4081.2112796112406</v>
      </c>
      <c r="BW14" s="113">
        <v>1317.5947205451992</v>
      </c>
      <c r="BX14" s="113">
        <v>15912.560861883028</v>
      </c>
      <c r="BY14" s="113">
        <v>3233.5855059884275</v>
      </c>
      <c r="BZ14" s="361">
        <v>6802.1227040000003</v>
      </c>
      <c r="CA14" s="113">
        <v>6576.008029126886</v>
      </c>
      <c r="CB14" s="113">
        <v>26677.89054235709</v>
      </c>
      <c r="CC14" s="113">
        <v>3.3114432591876204</v>
      </c>
      <c r="CD14" s="113">
        <v>0.14130476100580269</v>
      </c>
      <c r="CE14" s="113">
        <v>3.4274018762088976E-3</v>
      </c>
      <c r="CF14" s="113">
        <v>116.84560756247582</v>
      </c>
      <c r="CG14" s="406">
        <v>0.31013299591999577</v>
      </c>
      <c r="CH14" s="113">
        <v>0.9686247015563838</v>
      </c>
      <c r="CI14" s="113">
        <v>31.143356811713307</v>
      </c>
      <c r="CJ14" s="113">
        <v>292.5369076473566</v>
      </c>
      <c r="CK14" s="113">
        <v>0.37919329477007341</v>
      </c>
      <c r="CL14" s="113">
        <v>1.5479771188491294</v>
      </c>
      <c r="CM14" s="113">
        <v>24.658326018442953</v>
      </c>
      <c r="CN14" s="397">
        <v>1.2860566819999999</v>
      </c>
      <c r="CO14" s="113">
        <v>89.445339348536464</v>
      </c>
      <c r="CP14" s="113">
        <v>0.21756086033773891</v>
      </c>
      <c r="CQ14" s="113">
        <v>0.47163578706110004</v>
      </c>
      <c r="CR14" s="113">
        <v>7.5468046660385992</v>
      </c>
      <c r="CS14" s="113">
        <v>24.94894633995743</v>
      </c>
      <c r="CT14" s="113">
        <v>0.50825560698835859</v>
      </c>
      <c r="CU14" s="113">
        <v>1.432839442397634E-2</v>
      </c>
      <c r="CV14" s="113">
        <v>6.6469607098202321E-2</v>
      </c>
      <c r="CW14" s="113">
        <v>2.7627152982272814E-2</v>
      </c>
      <c r="CX14" s="113">
        <v>21.343037456837525</v>
      </c>
      <c r="CY14" s="113">
        <v>3.606964555125726E-3</v>
      </c>
      <c r="CZ14" s="113">
        <v>0.4498918017124422</v>
      </c>
      <c r="DA14" s="120">
        <v>1.3550523684719536E-2</v>
      </c>
      <c r="DS14" s="10">
        <v>18.313915472320161</v>
      </c>
      <c r="DT14" s="10">
        <v>17.168592592592592</v>
      </c>
      <c r="DU14" s="10">
        <v>26.97505927365604</v>
      </c>
      <c r="DV14" s="10">
        <v>3.4049025469329188</v>
      </c>
      <c r="DW14" s="10">
        <v>38.802172117463051</v>
      </c>
      <c r="DX14" s="10">
        <v>30.81276969165129</v>
      </c>
      <c r="DY14" s="10">
        <v>5.171744797230887</v>
      </c>
      <c r="DZ14" s="10">
        <v>9.6838910133843221</v>
      </c>
      <c r="EA14" s="10">
        <v>22.931104191766671</v>
      </c>
      <c r="EB14" s="10">
        <v>13.151342617527122</v>
      </c>
      <c r="EC14" s="10">
        <v>4.7733559018270526</v>
      </c>
      <c r="ED14" s="352">
        <v>10.395371563312832</v>
      </c>
      <c r="EE14" s="365">
        <v>20.217309946330531</v>
      </c>
      <c r="EF14" s="365">
        <v>12.007969214282234</v>
      </c>
      <c r="EG14" s="365">
        <v>9.7609932869957827</v>
      </c>
      <c r="EH14" s="365">
        <v>7.4870057590862897</v>
      </c>
      <c r="EI14" s="365">
        <v>13.658050383351586</v>
      </c>
      <c r="EJ14" s="11"/>
      <c r="EK14" s="11"/>
      <c r="EL14" s="11"/>
      <c r="EM14" s="11"/>
      <c r="EN14" s="11"/>
      <c r="EO14" s="11"/>
      <c r="EP14" s="11"/>
      <c r="EQ14" s="11"/>
      <c r="ER14" s="11"/>
      <c r="ES14" s="11"/>
    </row>
    <row r="15" spans="1:149" s="10" customFormat="1" ht="16.149999999999999" thickBot="1">
      <c r="A15" s="10" t="s">
        <v>48</v>
      </c>
      <c r="B15" s="483" t="s">
        <v>297</v>
      </c>
      <c r="D15" s="10" t="s">
        <v>211</v>
      </c>
      <c r="F15" s="426"/>
      <c r="G15" s="24" t="s">
        <v>299</v>
      </c>
      <c r="H15" s="10" t="s">
        <v>40</v>
      </c>
      <c r="I15" s="10" t="s">
        <v>40</v>
      </c>
      <c r="J15" s="10" t="s">
        <v>288</v>
      </c>
      <c r="K15" s="10" t="s">
        <v>218</v>
      </c>
      <c r="L15" s="10">
        <v>0</v>
      </c>
      <c r="M15" s="10">
        <v>0</v>
      </c>
      <c r="N15" s="10">
        <v>32</v>
      </c>
      <c r="O15" s="10" t="s">
        <v>290</v>
      </c>
      <c r="P15" s="10" t="s">
        <v>300</v>
      </c>
      <c r="Q15" s="10" t="s">
        <v>207</v>
      </c>
      <c r="R15" s="10" t="s">
        <v>208</v>
      </c>
      <c r="S15" s="10" t="s">
        <v>209</v>
      </c>
      <c r="T15" s="10" t="s">
        <v>221</v>
      </c>
      <c r="U15" s="10" t="s">
        <v>211</v>
      </c>
      <c r="V15" s="168">
        <v>25.952020645141602</v>
      </c>
      <c r="W15" s="10">
        <v>24</v>
      </c>
      <c r="X15" s="164">
        <f t="shared" si="15"/>
        <v>26.666666666666664</v>
      </c>
      <c r="Z15" s="10">
        <v>10</v>
      </c>
      <c r="AA15" s="178">
        <f t="shared" si="0"/>
        <v>11.111111111111111</v>
      </c>
      <c r="AB15" s="178">
        <v>2.5</v>
      </c>
      <c r="AC15" s="178">
        <f t="shared" si="1"/>
        <v>2.7777777777777777</v>
      </c>
      <c r="AD15" s="178">
        <v>10</v>
      </c>
      <c r="AE15" s="178">
        <f t="shared" si="2"/>
        <v>11.111111111111111</v>
      </c>
      <c r="AF15" s="10">
        <v>10</v>
      </c>
      <c r="AG15" s="10" t="s">
        <v>79</v>
      </c>
      <c r="AH15" s="10">
        <v>50</v>
      </c>
      <c r="AI15" s="10">
        <v>6.25</v>
      </c>
      <c r="AJ15" s="10" t="s">
        <v>212</v>
      </c>
      <c r="AK15" s="10">
        <v>87.5</v>
      </c>
      <c r="AM15" s="164">
        <f t="shared" si="3"/>
        <v>40.833333333333336</v>
      </c>
      <c r="AN15" s="177">
        <f t="shared" si="4"/>
        <v>408.4666666666667</v>
      </c>
      <c r="AO15" s="168">
        <f t="shared" si="5"/>
        <v>349.05745925925936</v>
      </c>
      <c r="AP15" s="168">
        <f t="shared" si="16"/>
        <v>328.524125925926</v>
      </c>
      <c r="AQ15" s="168">
        <f t="shared" si="17"/>
        <v>311.91666666666669</v>
      </c>
      <c r="AR15" s="739">
        <f t="shared" si="18"/>
        <v>3.465740740740741</v>
      </c>
      <c r="AS15" s="962">
        <f t="shared" si="6"/>
        <v>74.88159844176576</v>
      </c>
      <c r="AT15" s="168">
        <f t="shared" si="7"/>
        <v>288.53860539674054</v>
      </c>
      <c r="AU15" s="10">
        <v>0.50700000000000001</v>
      </c>
      <c r="AV15" s="170">
        <f t="shared" si="8"/>
        <v>669.07365798133026</v>
      </c>
      <c r="AW15" s="170">
        <f t="shared" si="9"/>
        <v>1229.8373876248841</v>
      </c>
      <c r="AX15" s="168">
        <f t="shared" si="10"/>
        <v>214.50397797958757</v>
      </c>
      <c r="AY15" s="168">
        <f t="shared" si="11"/>
        <v>1.0875351683565089</v>
      </c>
      <c r="AZ15" s="168">
        <f t="shared" si="12"/>
        <v>33.079194704177148</v>
      </c>
      <c r="BA15" s="168">
        <f t="shared" si="13"/>
        <v>36.754660782419052</v>
      </c>
      <c r="BB15" s="168">
        <f t="shared" si="14"/>
        <v>10.069030580614248</v>
      </c>
      <c r="BF15" s="10">
        <v>2500</v>
      </c>
      <c r="BG15" s="130">
        <v>2724</v>
      </c>
      <c r="BH15" s="846">
        <v>785.97916110072129</v>
      </c>
      <c r="BI15" s="846"/>
      <c r="BJ15" s="651"/>
      <c r="BK15" s="651"/>
      <c r="BL15" s="651"/>
      <c r="BM15" s="651"/>
      <c r="BN15" s="651"/>
      <c r="BO15" s="651"/>
      <c r="BP15" s="651"/>
      <c r="BQ15" s="651"/>
      <c r="BR15" s="651"/>
      <c r="BS15" s="651"/>
      <c r="BT15" s="651"/>
      <c r="BU15" s="113">
        <v>6.7772677357207618</v>
      </c>
      <c r="BV15" s="113">
        <v>4198.191602080341</v>
      </c>
      <c r="BW15" s="113">
        <v>1281.4969640077477</v>
      </c>
      <c r="BX15" s="113">
        <v>14524.224085730057</v>
      </c>
      <c r="BY15" s="113">
        <v>2982.2275519996069</v>
      </c>
      <c r="BZ15" s="361">
        <v>6040.2956729999996</v>
      </c>
      <c r="CA15" s="113">
        <v>8596.3921249960695</v>
      </c>
      <c r="CB15" s="113">
        <v>16748.595543822008</v>
      </c>
      <c r="CC15" s="113">
        <v>13.221568517679056</v>
      </c>
      <c r="CD15" s="113">
        <v>0.62782029587488675</v>
      </c>
      <c r="CE15" s="113">
        <v>6.6806250883952867E-2</v>
      </c>
      <c r="CF15" s="113">
        <v>753.96061667917047</v>
      </c>
      <c r="CG15" s="406">
        <v>0.99906324637569599</v>
      </c>
      <c r="CH15" s="113">
        <v>4.2027661103500744</v>
      </c>
      <c r="CI15" s="113">
        <v>56.250879608107702</v>
      </c>
      <c r="CJ15" s="113">
        <v>834.97975811064521</v>
      </c>
      <c r="CK15" s="113">
        <v>0.55797264593127449</v>
      </c>
      <c r="CL15" s="113">
        <v>2.5815038905825021</v>
      </c>
      <c r="CM15" s="113">
        <v>22.812156660428077</v>
      </c>
      <c r="CN15" s="397">
        <v>1.5631236500000001</v>
      </c>
      <c r="CO15" s="113">
        <v>141.79652884456388</v>
      </c>
      <c r="CP15" s="113">
        <v>0.33292737094051689</v>
      </c>
      <c r="CQ15" s="113">
        <v>0.40987770812251489</v>
      </c>
      <c r="CR15" s="113">
        <v>7.5838299916970637</v>
      </c>
      <c r="CS15" s="113">
        <v>14.601901752374845</v>
      </c>
      <c r="CT15" s="113">
        <v>0.4518414249705387</v>
      </c>
      <c r="CU15" s="113">
        <v>9.2325334730084373E-3</v>
      </c>
      <c r="CV15" s="113">
        <v>8.8665107840345661E-2</v>
      </c>
      <c r="CW15" s="113">
        <v>9.1862496087638218E-2</v>
      </c>
      <c r="CX15" s="113">
        <v>22.733881761752041</v>
      </c>
      <c r="CY15" s="124">
        <v>1.3451540558703536E-2</v>
      </c>
      <c r="CZ15" s="113">
        <v>0.69720052326965976</v>
      </c>
      <c r="DA15" s="113">
        <v>4.5010029669084309E-2</v>
      </c>
      <c r="DS15" s="10">
        <v>15.660057694949401</v>
      </c>
      <c r="DT15" s="10">
        <v>16.574814814814815</v>
      </c>
      <c r="DU15" s="10">
        <v>26.24851179876466</v>
      </c>
      <c r="DV15" s="10">
        <v>1.5591055841205308</v>
      </c>
      <c r="DW15" s="10">
        <v>32.322794931725916</v>
      </c>
      <c r="DX15" s="10">
        <v>26.799612672859869</v>
      </c>
      <c r="DY15" s="10">
        <v>4.8276569377377028</v>
      </c>
      <c r="DZ15" s="10">
        <v>8.9835086042065004</v>
      </c>
      <c r="EA15" s="10">
        <v>18.224571669978562</v>
      </c>
      <c r="EB15" s="10">
        <v>12.379472185889052</v>
      </c>
      <c r="EC15" s="10">
        <v>4.2567232538457702</v>
      </c>
      <c r="ED15" s="352">
        <v>10.033546442375476</v>
      </c>
      <c r="EE15" s="365">
        <v>18.682622195718785</v>
      </c>
      <c r="EF15" s="365">
        <v>10.755282770714597</v>
      </c>
      <c r="EG15" s="365">
        <v>8.6173706410027933</v>
      </c>
      <c r="EH15" s="365">
        <v>6.2655761506073668</v>
      </c>
      <c r="EI15" s="365">
        <v>12.715005476451259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</row>
    <row r="16" spans="1:149" s="10" customFormat="1" ht="16.149999999999999" thickBot="1">
      <c r="A16" s="40" t="s">
        <v>301</v>
      </c>
      <c r="B16" s="483" t="s">
        <v>302</v>
      </c>
      <c r="C16" s="10" t="s">
        <v>199</v>
      </c>
      <c r="F16" s="424"/>
      <c r="G16" s="24" t="s">
        <v>305</v>
      </c>
      <c r="H16" s="10" t="s">
        <v>40</v>
      </c>
      <c r="I16" s="10" t="s">
        <v>40</v>
      </c>
      <c r="J16" s="10" t="s">
        <v>306</v>
      </c>
      <c r="K16" s="10" t="s">
        <v>245</v>
      </c>
      <c r="L16" s="10">
        <v>0</v>
      </c>
      <c r="M16" s="10">
        <v>0</v>
      </c>
      <c r="N16" s="10">
        <v>23.5</v>
      </c>
      <c r="O16" s="10" t="s">
        <v>307</v>
      </c>
      <c r="P16" s="10" t="s">
        <v>308</v>
      </c>
      <c r="Q16" s="10" t="s">
        <v>207</v>
      </c>
      <c r="R16" s="10" t="s">
        <v>208</v>
      </c>
      <c r="S16" s="10" t="s">
        <v>209</v>
      </c>
      <c r="T16" s="10" t="s">
        <v>221</v>
      </c>
      <c r="U16" s="10" t="s">
        <v>211</v>
      </c>
      <c r="V16" s="168">
        <v>25.346691131591797</v>
      </c>
      <c r="W16" s="10">
        <v>20</v>
      </c>
      <c r="X16" s="164">
        <f t="shared" si="15"/>
        <v>22.222222222222221</v>
      </c>
      <c r="Z16" s="10">
        <v>11.5</v>
      </c>
      <c r="AA16" s="178">
        <f t="shared" si="0"/>
        <v>12.777777777777777</v>
      </c>
      <c r="AB16" s="178">
        <v>3</v>
      </c>
      <c r="AC16" s="178">
        <f t="shared" si="1"/>
        <v>3.296703296703297</v>
      </c>
      <c r="AD16" s="178">
        <v>9</v>
      </c>
      <c r="AE16" s="178">
        <f t="shared" si="2"/>
        <v>10</v>
      </c>
      <c r="AF16" s="10">
        <v>10</v>
      </c>
      <c r="AG16" s="10" t="s">
        <v>79</v>
      </c>
      <c r="AH16" s="10">
        <v>40</v>
      </c>
      <c r="AI16" s="10">
        <v>6</v>
      </c>
      <c r="AK16" s="10">
        <v>100</v>
      </c>
      <c r="AM16" s="164">
        <f t="shared" si="3"/>
        <v>44.277777777777779</v>
      </c>
      <c r="AN16" s="177">
        <f t="shared" si="4"/>
        <v>415.93888888888887</v>
      </c>
      <c r="AO16" s="168">
        <f t="shared" si="5"/>
        <v>353.54348479853479</v>
      </c>
      <c r="AP16" s="168">
        <f t="shared" si="16"/>
        <v>336.43237368742371</v>
      </c>
      <c r="AQ16" s="168">
        <f t="shared" si="17"/>
        <v>322.72222222222223</v>
      </c>
      <c r="AR16" s="739">
        <f t="shared" si="18"/>
        <v>3.5858024691358024</v>
      </c>
      <c r="AS16" s="962">
        <f t="shared" si="6"/>
        <v>70.686244849679312</v>
      </c>
      <c r="AT16" s="168">
        <f t="shared" si="7"/>
        <v>278.87760371836805</v>
      </c>
      <c r="AU16" s="10">
        <v>0.73270000000000002</v>
      </c>
      <c r="AV16" s="170">
        <f t="shared" si="8"/>
        <v>669.07365798133026</v>
      </c>
      <c r="AW16" s="170">
        <f t="shared" si="9"/>
        <v>1229.8373876248841</v>
      </c>
      <c r="AX16" s="168">
        <f t="shared" si="10"/>
        <v>207.32184272101816</v>
      </c>
      <c r="AY16" s="168">
        <f t="shared" si="11"/>
        <v>1.5190471416169</v>
      </c>
      <c r="AZ16" s="168">
        <f t="shared" si="12"/>
        <v>46.20435055751404</v>
      </c>
      <c r="BA16" s="168">
        <f t="shared" si="13"/>
        <v>51.338167286126712</v>
      </c>
      <c r="BB16" s="168">
        <f t="shared" si="14"/>
        <v>13.733622020704253</v>
      </c>
      <c r="BF16" s="10">
        <v>1400</v>
      </c>
      <c r="BG16" s="10">
        <v>1929.4</v>
      </c>
      <c r="BH16" s="10">
        <v>538.06644861421933</v>
      </c>
      <c r="BJ16" s="651">
        <v>2.1294738749999995</v>
      </c>
      <c r="BK16" s="651">
        <v>4.5942265200000003</v>
      </c>
      <c r="BL16" s="651">
        <v>0.90967187999999999</v>
      </c>
      <c r="BM16" s="651">
        <v>43.3778085</v>
      </c>
      <c r="BN16" s="651">
        <v>14.8089865</v>
      </c>
      <c r="BO16" s="651">
        <v>5.3491199999999996E-2</v>
      </c>
      <c r="BP16" s="651">
        <v>0.102431364</v>
      </c>
      <c r="BQ16" s="651">
        <v>1.9909102400000001</v>
      </c>
      <c r="BR16" s="651">
        <v>0.19007318000000001</v>
      </c>
      <c r="BS16" s="651">
        <v>1112.328</v>
      </c>
      <c r="BT16" s="651">
        <v>105.71964000000001</v>
      </c>
      <c r="BU16" s="399">
        <v>4.0279511968102577</v>
      </c>
      <c r="BV16" s="399">
        <v>4775.8323629601236</v>
      </c>
      <c r="BW16" s="399">
        <v>1266.1467378899388</v>
      </c>
      <c r="BX16" s="399">
        <v>10940.247478623907</v>
      </c>
      <c r="BY16" s="399">
        <v>2831.028321203054</v>
      </c>
      <c r="BZ16" s="361">
        <v>7774.8698794526199</v>
      </c>
      <c r="CA16" s="399">
        <v>6213.950924932702</v>
      </c>
      <c r="CB16" s="399">
        <v>19008.282080081786</v>
      </c>
      <c r="CC16" s="399">
        <v>6.6991708823270031</v>
      </c>
      <c r="CD16" s="399">
        <v>0.36261273369441943</v>
      </c>
      <c r="CE16" s="399">
        <v>3.3990854490162696E-2</v>
      </c>
      <c r="CF16" s="399">
        <v>263.77780604705123</v>
      </c>
      <c r="CG16" s="407">
        <v>0.65441861235654686</v>
      </c>
      <c r="CH16" s="399">
        <v>2.5631300438180298</v>
      </c>
      <c r="CI16" s="399">
        <v>47.031227550245319</v>
      </c>
      <c r="CJ16" s="399">
        <v>391.55006899915446</v>
      </c>
      <c r="CK16" s="399">
        <v>0.31727042613866674</v>
      </c>
      <c r="CL16" s="399">
        <v>0.74943302034343962</v>
      </c>
      <c r="CM16" s="399">
        <v>16.373783440978766</v>
      </c>
      <c r="CN16" s="397">
        <v>2.6329436099999999</v>
      </c>
      <c r="CO16" s="113">
        <v>135.62811535227414</v>
      </c>
      <c r="CP16" s="399">
        <v>0.35439596247291605</v>
      </c>
      <c r="CQ16" s="399">
        <v>0.4775152818071593</v>
      </c>
      <c r="CR16" s="399">
        <v>6.088881509469303</v>
      </c>
      <c r="CS16" s="399">
        <v>77.502865079979699</v>
      </c>
      <c r="CT16" s="399">
        <v>0.46381950768717956</v>
      </c>
      <c r="CU16" s="399">
        <v>5.8623580358375558E-3</v>
      </c>
      <c r="CV16" s="399">
        <v>5.4215249692607617E-2</v>
      </c>
      <c r="CW16" s="399">
        <v>4.0041143168425407E-2</v>
      </c>
      <c r="CX16" s="399">
        <v>15.54780570211474</v>
      </c>
      <c r="CY16" s="450">
        <v>4.2604993721104285E-3</v>
      </c>
      <c r="CZ16" s="399">
        <v>0.49589795571658929</v>
      </c>
      <c r="DA16" s="399">
        <v>2.2161958745105181E-2</v>
      </c>
      <c r="DS16" s="10">
        <v>13.029168002197903</v>
      </c>
      <c r="DT16" s="10">
        <v>13.444740740740739</v>
      </c>
      <c r="DU16" s="10">
        <v>22.193277909497013</v>
      </c>
      <c r="DV16" s="10">
        <v>2.6970225995456176</v>
      </c>
      <c r="DW16" s="10">
        <v>28.721016466618629</v>
      </c>
      <c r="DX16" s="10">
        <v>20.47690864526281</v>
      </c>
      <c r="DY16" s="10">
        <v>3.8506559548737234</v>
      </c>
      <c r="DZ16" s="10">
        <v>6.8870936902485651</v>
      </c>
      <c r="EA16" s="10">
        <v>13.188884542567004</v>
      </c>
      <c r="EB16" s="10">
        <v>9.7277833346156815</v>
      </c>
      <c r="EC16" s="10">
        <v>5.1656394683128388</v>
      </c>
      <c r="ED16" s="352">
        <v>7.9169312297931294</v>
      </c>
      <c r="EE16" s="365">
        <v>14.329324916205714</v>
      </c>
      <c r="EF16" s="365">
        <v>10.231146183447803</v>
      </c>
      <c r="EG16" s="365">
        <v>6.9241371116259725</v>
      </c>
      <c r="EH16" s="365">
        <v>5.3899627353240103</v>
      </c>
      <c r="EI16" s="365">
        <v>9.8858707557502719</v>
      </c>
      <c r="EJ16" s="11"/>
      <c r="EK16" s="11"/>
      <c r="EL16" s="11"/>
      <c r="EM16" s="11"/>
      <c r="EN16" s="11"/>
      <c r="EO16" s="11"/>
      <c r="EP16" s="11"/>
      <c r="EQ16" s="11"/>
      <c r="ER16" s="11"/>
      <c r="ES16" s="11"/>
    </row>
    <row r="17" spans="1:149" s="14" customFormat="1" ht="16.149999999999999" thickBot="1">
      <c r="A17" s="10" t="s">
        <v>309</v>
      </c>
      <c r="B17" s="482" t="s">
        <v>310</v>
      </c>
      <c r="C17" s="10" t="s">
        <v>199</v>
      </c>
      <c r="D17" s="10"/>
      <c r="E17" s="10"/>
      <c r="F17" s="431"/>
      <c r="G17" s="24"/>
      <c r="H17" s="10" t="s">
        <v>40</v>
      </c>
      <c r="I17" s="10" t="s">
        <v>40</v>
      </c>
      <c r="J17" s="59" t="s">
        <v>227</v>
      </c>
      <c r="K17" s="18" t="s">
        <v>245</v>
      </c>
      <c r="L17" s="58"/>
      <c r="M17" s="58"/>
      <c r="N17" s="10">
        <v>60</v>
      </c>
      <c r="O17" s="10" t="s">
        <v>229</v>
      </c>
      <c r="P17" s="10" t="s">
        <v>312</v>
      </c>
      <c r="Q17" s="10" t="s">
        <v>207</v>
      </c>
      <c r="R17" s="10" t="s">
        <v>208</v>
      </c>
      <c r="S17" s="10" t="s">
        <v>209</v>
      </c>
      <c r="T17" s="10" t="s">
        <v>221</v>
      </c>
      <c r="U17" s="10" t="s">
        <v>211</v>
      </c>
      <c r="V17" s="168">
        <v>27.466642379760742</v>
      </c>
      <c r="W17" s="10">
        <v>29</v>
      </c>
      <c r="X17" s="164">
        <f>W17/((100-AF17)/100)</f>
        <v>32.222222222222221</v>
      </c>
      <c r="Y17" s="10"/>
      <c r="Z17" s="10">
        <v>16</v>
      </c>
      <c r="AA17" s="178">
        <f>Z17/((100-AF17)/100)</f>
        <v>17.777777777777779</v>
      </c>
      <c r="AB17" s="178">
        <v>4.5</v>
      </c>
      <c r="AC17" s="178">
        <f>AB17/(100-AD17)*100</f>
        <v>4.8913043478260869</v>
      </c>
      <c r="AD17" s="178">
        <v>8</v>
      </c>
      <c r="AE17" s="178">
        <f>AD17/(100-AF17)*100</f>
        <v>8.8888888888888893</v>
      </c>
      <c r="AF17" s="10">
        <v>10</v>
      </c>
      <c r="AG17" s="10">
        <v>370</v>
      </c>
      <c r="AH17" s="10">
        <v>60</v>
      </c>
      <c r="AI17" s="18">
        <v>5</v>
      </c>
      <c r="AJ17" s="18" t="s">
        <v>212</v>
      </c>
      <c r="AK17" s="18">
        <v>100</v>
      </c>
      <c r="AL17" s="10" t="s">
        <v>79</v>
      </c>
      <c r="AM17" s="164">
        <f>100-(AD17+X17+AF17+Z17+AB17)</f>
        <v>29.277777777777771</v>
      </c>
      <c r="AN17" s="177">
        <f>(W17*5.7)+(Z17*9.4)+((AM17+AB17)*4.1)</f>
        <v>454.18888888888887</v>
      </c>
      <c r="AO17" s="168">
        <f>(AN17*(87.9-(0.88*AC17)))/100</f>
        <v>379.68216376811591</v>
      </c>
      <c r="AP17" s="168">
        <f>AO17-(0.77*X17)</f>
        <v>354.87105265700478</v>
      </c>
      <c r="AQ17" s="168">
        <f>(W17*3.5)+(Z17*8.5)+(AM17*3.5)</f>
        <v>339.97222222222217</v>
      </c>
      <c r="AR17" s="739">
        <f>AQ17/(100-AF17)</f>
        <v>3.7774691358024688</v>
      </c>
      <c r="AS17" s="962">
        <f>AT17*(V17/100)</f>
        <v>72.711758567223484</v>
      </c>
      <c r="AT17" s="168">
        <f t="shared" si="7"/>
        <v>264.72751041751781</v>
      </c>
      <c r="AU17" s="10">
        <v>0.6</v>
      </c>
      <c r="AV17" s="170">
        <f t="shared" si="8"/>
        <v>669.07365798133026</v>
      </c>
      <c r="AW17" s="170">
        <f t="shared" si="9"/>
        <v>1229.8373876248841</v>
      </c>
      <c r="AX17" s="168">
        <f>AV17*(100/AQ17)</f>
        <v>196.80244862593261</v>
      </c>
      <c r="AY17" s="168">
        <f>(AU17/100)*AX17</f>
        <v>1.1808146917555957</v>
      </c>
      <c r="AZ17" s="168">
        <f>(AY17*365)/12</f>
        <v>35.916446874232705</v>
      </c>
      <c r="BA17" s="168">
        <f>AZ17/((100-AF17)/100)</f>
        <v>39.907163193591892</v>
      </c>
      <c r="BB17" s="168">
        <f>AZ17/(AP17/100)</f>
        <v>10.120985243884403</v>
      </c>
      <c r="BC17" s="10"/>
      <c r="BD17" s="10"/>
      <c r="BE17" s="10"/>
      <c r="BF17" s="10">
        <v>2000</v>
      </c>
      <c r="BG17" s="10">
        <v>963.3</v>
      </c>
      <c r="BH17" s="10">
        <v>255.01201078519489</v>
      </c>
      <c r="BI17" s="10"/>
      <c r="BJ17" s="652">
        <v>12.120474730240119</v>
      </c>
      <c r="BK17" s="652">
        <v>5.7719533195683077</v>
      </c>
      <c r="BL17" s="652">
        <v>11.347496537868423</v>
      </c>
      <c r="BM17" s="652">
        <v>17.911093391091963</v>
      </c>
      <c r="BN17" s="652">
        <v>18.314867021192963</v>
      </c>
      <c r="BO17" s="652">
        <v>0.12394099320325436</v>
      </c>
      <c r="BP17" s="652">
        <v>0.85389391292634242</v>
      </c>
      <c r="BQ17" s="652">
        <v>2.2154884233100063</v>
      </c>
      <c r="BR17" s="652">
        <v>0.18262625142634256</v>
      </c>
      <c r="BS17" s="653">
        <v>206.6141620438809</v>
      </c>
      <c r="BT17" s="653">
        <v>29.21755804495313</v>
      </c>
      <c r="BU17" s="399">
        <v>3.5954113291672827</v>
      </c>
      <c r="BV17" s="399">
        <v>4211.3821226429454</v>
      </c>
      <c r="BW17" s="399">
        <v>1244.5035966062881</v>
      </c>
      <c r="BX17" s="399">
        <v>10664.027264860564</v>
      </c>
      <c r="BY17" s="399">
        <v>3425.0694631083761</v>
      </c>
      <c r="BZ17" s="361">
        <v>7252.8445705759104</v>
      </c>
      <c r="CA17" s="399">
        <v>6145.956159353208</v>
      </c>
      <c r="CB17" s="399">
        <v>17334.171136110319</v>
      </c>
      <c r="CC17" s="399">
        <v>4.6373336385992623</v>
      </c>
      <c r="CD17" s="399">
        <v>0.15079951146977361</v>
      </c>
      <c r="CE17" s="399" t="e">
        <v>#VALUE!</v>
      </c>
      <c r="CF17" s="399">
        <v>83.824838274442996</v>
      </c>
      <c r="CG17" s="407">
        <v>0.1979858628955026</v>
      </c>
      <c r="CH17" s="399">
        <v>1.5099490793932786</v>
      </c>
      <c r="CI17" s="399">
        <v>42.519814009763934</v>
      </c>
      <c r="CJ17" s="399">
        <v>239.49591296286096</v>
      </c>
      <c r="CK17" s="399">
        <v>0.11072112446344827</v>
      </c>
      <c r="CL17" s="399">
        <v>0.66401270159811954</v>
      </c>
      <c r="CM17" s="399">
        <v>10.342495106401167</v>
      </c>
      <c r="CN17" s="397">
        <v>2.407704464</v>
      </c>
      <c r="CO17" s="113">
        <v>149.65609062403217</v>
      </c>
      <c r="CP17" s="399">
        <v>0.35620602429012993</v>
      </c>
      <c r="CQ17" s="399">
        <v>0.45134119608121137</v>
      </c>
      <c r="CR17" s="399">
        <v>7.1296892069525821</v>
      </c>
      <c r="CS17" s="399">
        <v>50.572922675522335</v>
      </c>
      <c r="CT17" s="399">
        <v>0.675934764530708</v>
      </c>
      <c r="CU17" s="399">
        <v>3.7733873826217858E-3</v>
      </c>
      <c r="CV17" s="399">
        <v>0.12652659524740945</v>
      </c>
      <c r="CW17" s="399">
        <v>2.2112085062956238E-2</v>
      </c>
      <c r="CX17" s="399">
        <v>3.6120115704319882</v>
      </c>
      <c r="CY17" s="450">
        <v>4.3364031226536077E-3</v>
      </c>
      <c r="CZ17" s="399">
        <v>0.15182501487617767</v>
      </c>
      <c r="DA17" s="399">
        <v>1.9767072435467038E-2</v>
      </c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>
        <v>14.705838179403818</v>
      </c>
      <c r="DT17" s="10">
        <v>16.682666666666666</v>
      </c>
      <c r="DU17" s="10">
        <v>23.431461337295083</v>
      </c>
      <c r="DV17" s="10">
        <v>3.5040057395671411</v>
      </c>
      <c r="DW17" s="10">
        <v>36.890146389469798</v>
      </c>
      <c r="DX17" s="10">
        <v>23.194892123339489</v>
      </c>
      <c r="DY17" s="10">
        <v>5.0455792487500535</v>
      </c>
      <c r="DZ17" s="10">
        <v>8.6948374760994263</v>
      </c>
      <c r="EA17" s="10">
        <v>17.112256106147608</v>
      </c>
      <c r="EB17" s="10">
        <v>13.718858198045703</v>
      </c>
      <c r="EC17" s="10">
        <v>5.4782297008015135</v>
      </c>
      <c r="ED17" s="352">
        <v>10.190378491382454</v>
      </c>
      <c r="EE17" s="365">
        <v>16.069083506405381</v>
      </c>
      <c r="EF17" s="365">
        <v>10.573145306639388</v>
      </c>
      <c r="EG17" s="365">
        <v>8.4373670765757733</v>
      </c>
      <c r="EH17" s="365">
        <v>6.8021874848763497</v>
      </c>
      <c r="EI17" s="365">
        <v>13.063088718510404</v>
      </c>
      <c r="EJ17" s="11"/>
      <c r="EK17" s="11"/>
      <c r="EL17" s="11"/>
      <c r="EM17" s="11"/>
      <c r="EN17" s="11"/>
      <c r="EO17" s="11"/>
      <c r="EP17" s="11"/>
      <c r="EQ17" s="11"/>
      <c r="ER17" s="11"/>
      <c r="ES17" s="11"/>
    </row>
    <row r="18" spans="1:149" s="37" customFormat="1" ht="16.149999999999999" thickBot="1">
      <c r="A18" s="40" t="s">
        <v>313</v>
      </c>
      <c r="B18" s="483" t="s">
        <v>314</v>
      </c>
      <c r="C18" s="10" t="s">
        <v>199</v>
      </c>
      <c r="D18" s="10"/>
      <c r="E18" s="10"/>
      <c r="F18" s="424"/>
      <c r="G18" s="24"/>
      <c r="H18" s="10" t="s">
        <v>40</v>
      </c>
      <c r="I18" s="10" t="s">
        <v>40</v>
      </c>
      <c r="J18" s="10" t="s">
        <v>316</v>
      </c>
      <c r="K18" s="10" t="s">
        <v>218</v>
      </c>
      <c r="L18" s="10"/>
      <c r="M18" s="10"/>
      <c r="N18" s="10">
        <v>26</v>
      </c>
      <c r="O18" s="10" t="s">
        <v>229</v>
      </c>
      <c r="P18" s="10" t="s">
        <v>317</v>
      </c>
      <c r="Q18" s="10" t="s">
        <v>207</v>
      </c>
      <c r="R18" s="10" t="s">
        <v>208</v>
      </c>
      <c r="S18" s="10" t="s">
        <v>209</v>
      </c>
      <c r="T18" s="10" t="s">
        <v>221</v>
      </c>
      <c r="U18" s="10" t="s">
        <v>211</v>
      </c>
      <c r="V18" s="168">
        <v>24.206619262695313</v>
      </c>
      <c r="W18" s="10">
        <v>21.5</v>
      </c>
      <c r="X18" s="164">
        <f>W18/((100-AF18)/100)</f>
        <v>23.888888888888889</v>
      </c>
      <c r="Y18" s="10"/>
      <c r="Z18" s="10">
        <v>10</v>
      </c>
      <c r="AA18" s="178">
        <f>Z18/((100-AF18)/100)</f>
        <v>11.111111111111111</v>
      </c>
      <c r="AB18" s="178">
        <v>3</v>
      </c>
      <c r="AC18" s="178">
        <f>AB18/(100-AD18)*100</f>
        <v>3.296703296703297</v>
      </c>
      <c r="AD18" s="178">
        <v>9</v>
      </c>
      <c r="AE18" s="178">
        <f>AD18/(100-AF18)*100</f>
        <v>10</v>
      </c>
      <c r="AF18" s="10">
        <v>10</v>
      </c>
      <c r="AG18" s="10">
        <v>360</v>
      </c>
      <c r="AH18" s="10">
        <v>50</v>
      </c>
      <c r="AI18" s="10">
        <v>5</v>
      </c>
      <c r="AJ18" s="10" t="s">
        <v>212</v>
      </c>
      <c r="AK18" s="10">
        <v>50</v>
      </c>
      <c r="AL18" s="10"/>
      <c r="AM18" s="164">
        <f>100-(AD18+X18+AF18+Z18+AB18)</f>
        <v>44.111111111111114</v>
      </c>
      <c r="AN18" s="177">
        <f>(W18*5.7)+(Z18*9.4)+((AM18+AB18)*4.1)</f>
        <v>409.70555555555558</v>
      </c>
      <c r="AO18" s="168">
        <f>(AN18*(87.9-(0.88*AC18)))/100</f>
        <v>348.24521996336995</v>
      </c>
      <c r="AP18" s="168">
        <f>AO18-(0.77*X18)</f>
        <v>329.8507755189255</v>
      </c>
      <c r="AQ18" s="168">
        <f>(W18*3.5)+(Z18*8.5)+(AM18*3.5)</f>
        <v>314.63888888888891</v>
      </c>
      <c r="AR18" s="739">
        <f>AQ18/(100-AF18)</f>
        <v>3.495987654320988</v>
      </c>
      <c r="AS18" s="962">
        <f>AT18*(V18/100)</f>
        <v>69.241146297459878</v>
      </c>
      <c r="AT18" s="168">
        <f t="shared" si="7"/>
        <v>286.04220005297077</v>
      </c>
      <c r="AU18" s="10">
        <v>0.17949999999999999</v>
      </c>
      <c r="AV18" s="170">
        <f t="shared" ref="AV18:AV35" si="19">(13.5^0.75)*95</f>
        <v>669.07365798133026</v>
      </c>
      <c r="AW18" s="170">
        <f t="shared" si="9"/>
        <v>1229.8373876248841</v>
      </c>
      <c r="AX18" s="168">
        <f>AV18*(100/AQ18)</f>
        <v>212.64811236274289</v>
      </c>
      <c r="AY18" s="168">
        <f>(AU18/100)*AX18</f>
        <v>0.38170336169112346</v>
      </c>
      <c r="AZ18" s="168">
        <f>(AY18*365)/12</f>
        <v>11.610143918105004</v>
      </c>
      <c r="BA18" s="168">
        <f>AZ18/((100-AF18)/100)</f>
        <v>12.900159909005559</v>
      </c>
      <c r="BB18" s="168">
        <f>AZ18/(AP18/100)</f>
        <v>3.5198170748089876</v>
      </c>
      <c r="BC18" s="10"/>
      <c r="BD18" s="10"/>
      <c r="BE18" s="10"/>
      <c r="BF18" s="10">
        <v>1500</v>
      </c>
      <c r="BG18" s="10">
        <v>518.79999999999995</v>
      </c>
      <c r="BH18" s="10">
        <v>148.39869338748122</v>
      </c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399">
        <v>3.2321631336098382</v>
      </c>
      <c r="BV18" s="399">
        <v>2888.5211097747515</v>
      </c>
      <c r="BW18" s="399">
        <v>1474.0347155207398</v>
      </c>
      <c r="BX18" s="399">
        <v>20224.378963088173</v>
      </c>
      <c r="BY18" s="399">
        <v>2381.2211730947538</v>
      </c>
      <c r="BZ18" s="361">
        <v>3175.3514220000002</v>
      </c>
      <c r="CA18" s="399">
        <v>4414.8731288698746</v>
      </c>
      <c r="CB18" s="399">
        <v>39880.657682184567</v>
      </c>
      <c r="CC18" s="399">
        <v>8.3983623744463234</v>
      </c>
      <c r="CD18" s="399">
        <v>8.646383326133697E-2</v>
      </c>
      <c r="CE18" s="399">
        <v>1.7702292661943005E-2</v>
      </c>
      <c r="CF18" s="399">
        <v>106.01387447523224</v>
      </c>
      <c r="CG18" s="407">
        <v>0.17287254122687531</v>
      </c>
      <c r="CH18" s="399">
        <v>2.9871285344671001</v>
      </c>
      <c r="CI18" s="399">
        <v>20.011281105996861</v>
      </c>
      <c r="CJ18" s="399">
        <v>183.17726957406035</v>
      </c>
      <c r="CK18" s="399">
        <v>0.12077014039642396</v>
      </c>
      <c r="CL18" s="399">
        <v>0.87145621937284101</v>
      </c>
      <c r="CM18" s="399">
        <v>42.541358102763532</v>
      </c>
      <c r="CN18" s="397">
        <v>0.24736144199999999</v>
      </c>
      <c r="CO18" s="113">
        <v>58.307607645489192</v>
      </c>
      <c r="CP18" s="399">
        <v>0.12651561453627483</v>
      </c>
      <c r="CQ18" s="399">
        <v>0.19507108836476589</v>
      </c>
      <c r="CR18" s="399">
        <v>4.9685678979775654</v>
      </c>
      <c r="CS18" s="399">
        <v>78.122422607037166</v>
      </c>
      <c r="CT18" s="399">
        <v>0.32508200815859239</v>
      </c>
      <c r="CU18" s="399">
        <v>3.3982117850977936E-3</v>
      </c>
      <c r="CV18" s="399">
        <v>3.9765368476928895E-2</v>
      </c>
      <c r="CW18" s="399">
        <v>2.11010680017263E-2</v>
      </c>
      <c r="CX18" s="399">
        <v>18.718879485448344</v>
      </c>
      <c r="CY18" s="450">
        <v>2.4746461412755633E-3</v>
      </c>
      <c r="CZ18" s="404">
        <v>1.0543193668003294</v>
      </c>
      <c r="DA18" s="399">
        <v>9.6175284927682465E-3</v>
      </c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>
        <v>15.586977425706305</v>
      </c>
      <c r="DT18" s="10">
        <v>16.378074074074075</v>
      </c>
      <c r="DU18" s="10">
        <v>24.184872752434543</v>
      </c>
      <c r="DV18" s="10">
        <v>3.0102594762644985</v>
      </c>
      <c r="DW18" s="10">
        <v>33.628947507161307</v>
      </c>
      <c r="DX18" s="10">
        <v>28.106878082730663</v>
      </c>
      <c r="DY18" s="10">
        <v>4.708790222640058</v>
      </c>
      <c r="DZ18" s="10">
        <v>8.9109464627151045</v>
      </c>
      <c r="EA18" s="10">
        <v>20.869158673780721</v>
      </c>
      <c r="EB18" s="10">
        <v>12.4804185581288</v>
      </c>
      <c r="EC18" s="10">
        <v>4.4236670483397216</v>
      </c>
      <c r="ED18" s="352">
        <v>9.3061915064297338</v>
      </c>
      <c r="EE18" s="365">
        <v>20.596245193395163</v>
      </c>
      <c r="EF18" s="365">
        <v>10.587559062789223</v>
      </c>
      <c r="EG18" s="365">
        <v>7.6753519871680629</v>
      </c>
      <c r="EH18" s="365">
        <v>5.7664424333349471</v>
      </c>
      <c r="EI18" s="365">
        <v>12.343921139101862</v>
      </c>
      <c r="EJ18" s="11"/>
      <c r="EK18" s="11"/>
      <c r="EL18" s="11"/>
      <c r="EM18" s="11"/>
      <c r="EN18" s="11"/>
      <c r="EO18" s="11"/>
      <c r="EP18" s="11"/>
      <c r="EQ18" s="11"/>
      <c r="ER18" s="11"/>
      <c r="ES18" s="11"/>
    </row>
    <row r="19" spans="1:149" s="37" customFormat="1" ht="16.149999999999999" thickBot="1">
      <c r="A19" s="10"/>
      <c r="B19" s="481" t="s">
        <v>318</v>
      </c>
      <c r="C19" s="10" t="s">
        <v>199</v>
      </c>
      <c r="D19" s="10"/>
      <c r="E19" s="10"/>
      <c r="F19" s="423"/>
      <c r="G19" s="24"/>
      <c r="H19" s="10" t="s">
        <v>40</v>
      </c>
      <c r="I19" s="10" t="s">
        <v>40</v>
      </c>
      <c r="J19" s="10" t="s">
        <v>267</v>
      </c>
      <c r="K19" s="10" t="s">
        <v>245</v>
      </c>
      <c r="L19" s="10"/>
      <c r="M19" s="10"/>
      <c r="N19" s="10">
        <v>15</v>
      </c>
      <c r="O19" s="10" t="s">
        <v>274</v>
      </c>
      <c r="P19" s="10" t="s">
        <v>320</v>
      </c>
      <c r="Q19" s="10" t="s">
        <v>207</v>
      </c>
      <c r="R19" s="10" t="s">
        <v>208</v>
      </c>
      <c r="S19" s="10" t="s">
        <v>209</v>
      </c>
      <c r="T19" s="10" t="s">
        <v>221</v>
      </c>
      <c r="U19" s="10" t="s">
        <v>211</v>
      </c>
      <c r="V19" s="168">
        <v>21.805997848510742</v>
      </c>
      <c r="W19" s="10">
        <v>20</v>
      </c>
      <c r="X19" s="164">
        <f>W19/((100-AF19)/100)</f>
        <v>22.222222222222221</v>
      </c>
      <c r="Y19" s="10"/>
      <c r="Z19" s="10">
        <v>8.1999999999999993</v>
      </c>
      <c r="AA19" s="178">
        <f>Z19/((100-AF19)/100)</f>
        <v>9.1111111111111107</v>
      </c>
      <c r="AB19" s="178">
        <v>1.7</v>
      </c>
      <c r="AC19" s="178">
        <f>AB19/(100-AD19)*100</f>
        <v>1.8378378378378377</v>
      </c>
      <c r="AD19" s="178">
        <v>7.5</v>
      </c>
      <c r="AE19" s="178">
        <f>AD19/(100-AF19)*100</f>
        <v>8.3333333333333321</v>
      </c>
      <c r="AF19" s="10">
        <v>10</v>
      </c>
      <c r="AG19" s="10">
        <v>340</v>
      </c>
      <c r="AH19" s="10"/>
      <c r="AI19" s="10">
        <v>4.3</v>
      </c>
      <c r="AJ19" s="10" t="s">
        <v>212</v>
      </c>
      <c r="AK19" s="10">
        <v>85.4</v>
      </c>
      <c r="AL19" s="10"/>
      <c r="AM19" s="164">
        <f>100-(AD19+X19+AF19+Z19+AB19)</f>
        <v>50.37777777777778</v>
      </c>
      <c r="AN19" s="177">
        <f>(W19*5.7)+(Z19*9.4)+((AM19+AB19)*4.1)</f>
        <v>404.59888888888884</v>
      </c>
      <c r="AO19" s="168">
        <f>(AN19*(87.9-(0.88*AC19)))/100</f>
        <v>349.09885643843836</v>
      </c>
      <c r="AP19" s="168">
        <f>AO19-(0.77*X19)</f>
        <v>331.98774532732727</v>
      </c>
      <c r="AQ19" s="168">
        <f>(W19*3.5)+(Z19*8.5)+(AM19*3.5)</f>
        <v>316.02222222222224</v>
      </c>
      <c r="AR19" s="739">
        <f>AQ19/(100-AF19)</f>
        <v>3.5113580246913583</v>
      </c>
      <c r="AS19" s="962">
        <f>AT19*(V19/100)</f>
        <v>62.101322893234297</v>
      </c>
      <c r="AT19" s="168">
        <f t="shared" si="7"/>
        <v>284.79009914914559</v>
      </c>
      <c r="AU19" s="10">
        <v>0.16669999999999999</v>
      </c>
      <c r="AV19" s="170">
        <f t="shared" si="19"/>
        <v>669.07365798133026</v>
      </c>
      <c r="AW19" s="170">
        <f t="shared" si="9"/>
        <v>1229.8373876248841</v>
      </c>
      <c r="AX19" s="168">
        <f>AV19*(100/AQ19)</f>
        <v>211.71728154953843</v>
      </c>
      <c r="AY19" s="168">
        <f>(AU19/100)*AX19</f>
        <v>0.35293270834308055</v>
      </c>
      <c r="AZ19" s="168">
        <f>(AY19*365)/12</f>
        <v>10.735036545435365</v>
      </c>
      <c r="BA19" s="168">
        <f>AZ19/((100-AF19)/100)</f>
        <v>11.927818383817073</v>
      </c>
      <c r="BB19" s="168">
        <f>AZ19/(AP19/100)</f>
        <v>3.2335640988347412</v>
      </c>
      <c r="BC19" s="10"/>
      <c r="BD19" s="10"/>
      <c r="BE19" s="10"/>
      <c r="BF19" s="10">
        <v>1312</v>
      </c>
      <c r="BG19" s="10">
        <v>1934.7</v>
      </c>
      <c r="BH19" s="10">
        <v>550.98340482385197</v>
      </c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13">
        <v>2.7087362368024137</v>
      </c>
      <c r="BV19" s="113">
        <v>3327.4474583766364</v>
      </c>
      <c r="BW19" s="113">
        <v>1211.0498242400831</v>
      </c>
      <c r="BX19" s="113">
        <v>9442.7582057090294</v>
      </c>
      <c r="BY19" s="113">
        <v>3857.1634643078814</v>
      </c>
      <c r="BZ19" s="361">
        <v>7840.9147949999997</v>
      </c>
      <c r="CA19" s="113">
        <v>6363.9807132010601</v>
      </c>
      <c r="CB19" s="113">
        <v>8127.0106853818406</v>
      </c>
      <c r="CC19" s="113">
        <v>8.3445933634992464</v>
      </c>
      <c r="CD19" s="113" t="e">
        <v>#VALUE!</v>
      </c>
      <c r="CE19" s="113" t="e">
        <v>#VALUE!</v>
      </c>
      <c r="CF19" s="113">
        <v>62.05201184728508</v>
      </c>
      <c r="CG19" s="406">
        <v>6.6972431727341089E-2</v>
      </c>
      <c r="CH19" s="113">
        <v>0.54092716317958101</v>
      </c>
      <c r="CI19" s="113">
        <v>57.561577934318699</v>
      </c>
      <c r="CJ19" s="113">
        <v>126.35344728600222</v>
      </c>
      <c r="CK19" s="113">
        <v>7.800829314785343E-2</v>
      </c>
      <c r="CL19" s="113">
        <v>0.39051185629713425</v>
      </c>
      <c r="CM19" s="113">
        <v>9.1576147595943631</v>
      </c>
      <c r="CN19" s="397">
        <v>0.53787940099999998</v>
      </c>
      <c r="CO19" s="113">
        <v>129.77019975530132</v>
      </c>
      <c r="CP19" s="113">
        <v>2.9256676857359588E-2</v>
      </c>
      <c r="CQ19" s="113">
        <v>0.47821103587278851</v>
      </c>
      <c r="CR19" s="113">
        <v>3.0846482983615067</v>
      </c>
      <c r="CS19" s="113">
        <v>6.0955436573890323</v>
      </c>
      <c r="CT19" s="113">
        <v>0.3425633937399718</v>
      </c>
      <c r="CU19" s="113">
        <v>9.0768574161624095E-4</v>
      </c>
      <c r="CV19" s="113">
        <v>3.4859455816062396E-2</v>
      </c>
      <c r="CW19" s="113">
        <v>1.3508177596977998E-2</v>
      </c>
      <c r="CX19" s="113">
        <v>7.5296226930241321</v>
      </c>
      <c r="CY19" s="379">
        <v>1.9464076282051284E-3</v>
      </c>
      <c r="CZ19" s="113">
        <v>0.11263000588954923</v>
      </c>
      <c r="DA19" s="113">
        <v>8.4954182503770743E-3</v>
      </c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>
        <v>10.239589724804249</v>
      </c>
      <c r="DT19" s="10">
        <v>11.102814814814815</v>
      </c>
      <c r="DU19" s="10">
        <v>18.34440792486237</v>
      </c>
      <c r="DV19" s="10">
        <v>4.0207581011598705</v>
      </c>
      <c r="DW19" s="10">
        <v>37.251041245628528</v>
      </c>
      <c r="DX19" s="10">
        <v>18.281562622930981</v>
      </c>
      <c r="DY19" s="10">
        <v>3.4815435237810348</v>
      </c>
      <c r="DZ19" s="10">
        <v>7.4281548757170164</v>
      </c>
      <c r="EA19" s="10">
        <v>16.001201671073837</v>
      </c>
      <c r="EB19" s="10">
        <v>8.5324305608986695</v>
      </c>
      <c r="EC19" s="10">
        <v>5.3559416538059441</v>
      </c>
      <c r="ED19" s="352">
        <v>8.4491722779979082</v>
      </c>
      <c r="EE19" s="365">
        <v>17.482289074869939</v>
      </c>
      <c r="EF19" s="365">
        <v>11.812728335525353</v>
      </c>
      <c r="EG19" s="365">
        <v>7.0057387274995548</v>
      </c>
      <c r="EH19" s="365">
        <v>4.7358079659294399</v>
      </c>
      <c r="EI19" s="365">
        <v>10.404162102957283</v>
      </c>
      <c r="EJ19" s="11"/>
      <c r="EK19" s="11"/>
      <c r="EL19" s="11"/>
      <c r="EM19" s="11"/>
      <c r="EN19" s="11"/>
      <c r="EO19" s="11"/>
      <c r="EP19" s="11"/>
      <c r="EQ19" s="11"/>
      <c r="ER19" s="11"/>
      <c r="ES19" s="11"/>
    </row>
    <row r="20" spans="1:149" s="37" customFormat="1" ht="16.149999999999999" thickBot="1">
      <c r="A20" s="10"/>
      <c r="B20" s="481" t="s">
        <v>321</v>
      </c>
      <c r="C20" s="10" t="s">
        <v>199</v>
      </c>
      <c r="D20" s="10"/>
      <c r="E20" s="10"/>
      <c r="F20" s="423"/>
      <c r="G20" s="24"/>
      <c r="H20" s="10" t="s">
        <v>40</v>
      </c>
      <c r="I20" s="10" t="s">
        <v>40</v>
      </c>
      <c r="J20" s="10" t="s">
        <v>323</v>
      </c>
      <c r="K20" s="10" t="s">
        <v>245</v>
      </c>
      <c r="L20" s="10"/>
      <c r="M20" s="10"/>
      <c r="N20" s="10">
        <v>27</v>
      </c>
      <c r="O20" s="10" t="s">
        <v>324</v>
      </c>
      <c r="P20" s="10" t="s">
        <v>325</v>
      </c>
      <c r="Q20" s="10" t="s">
        <v>207</v>
      </c>
      <c r="R20" s="10" t="s">
        <v>208</v>
      </c>
      <c r="S20" s="10" t="s">
        <v>209</v>
      </c>
      <c r="T20" s="10" t="s">
        <v>221</v>
      </c>
      <c r="U20" s="10" t="s">
        <v>211</v>
      </c>
      <c r="V20" s="168">
        <v>22.278650283813477</v>
      </c>
      <c r="W20" s="10">
        <v>21</v>
      </c>
      <c r="X20" s="164">
        <f>W20/((100-AF20)/100)</f>
        <v>23.333333333333332</v>
      </c>
      <c r="Y20" s="10"/>
      <c r="Z20" s="10">
        <v>11</v>
      </c>
      <c r="AA20" s="178">
        <f>Z20/((100-AF20)/100)</f>
        <v>12.222222222222221</v>
      </c>
      <c r="AB20" s="178">
        <v>3.5</v>
      </c>
      <c r="AC20" s="178">
        <f>AB20/(100-AD20)*100</f>
        <v>3.867403314917127</v>
      </c>
      <c r="AD20" s="178">
        <v>9.5</v>
      </c>
      <c r="AE20" s="178">
        <f>AD20/(100-AF20)*100</f>
        <v>10.555555555555555</v>
      </c>
      <c r="AF20" s="10">
        <v>10</v>
      </c>
      <c r="AG20" s="10"/>
      <c r="AH20" s="10">
        <v>40</v>
      </c>
      <c r="AI20" s="10">
        <v>8</v>
      </c>
      <c r="AJ20" s="10" t="s">
        <v>212</v>
      </c>
      <c r="AK20" s="10">
        <v>50</v>
      </c>
      <c r="AL20" s="10"/>
      <c r="AM20" s="164">
        <f>100-(AD20+X20+AF20+Z20+AB20)</f>
        <v>42.666666666666671</v>
      </c>
      <c r="AN20" s="177">
        <f>(W20*5.7)+(Z20*9.4)+((AM20+AB20)*4.1)</f>
        <v>412.38333333333333</v>
      </c>
      <c r="AO20" s="168">
        <f>(AN20*(87.9-(0.88*AC20)))/100</f>
        <v>348.45024650092085</v>
      </c>
      <c r="AP20" s="168">
        <f>AO20-(0.77*X20)</f>
        <v>330.48357983425421</v>
      </c>
      <c r="AQ20" s="168">
        <f>(W20*3.5)+(Z20*8.5)+(AM20*3.5)</f>
        <v>316.33333333333337</v>
      </c>
      <c r="AR20" s="739">
        <f>AQ20/(100-AF20)</f>
        <v>3.5148148148148151</v>
      </c>
      <c r="AS20" s="962">
        <f>AT20*(V20/100)</f>
        <v>63.384990270069942</v>
      </c>
      <c r="AT20" s="168">
        <f t="shared" si="7"/>
        <v>284.51001053740777</v>
      </c>
      <c r="AU20" s="10">
        <v>0.22450000000000001</v>
      </c>
      <c r="AV20" s="170">
        <f t="shared" si="19"/>
        <v>669.07365798133026</v>
      </c>
      <c r="AW20" s="170">
        <f t="shared" si="9"/>
        <v>1229.8373876248841</v>
      </c>
      <c r="AX20" s="168">
        <f>AV20*(100/AQ20)</f>
        <v>211.50905942507805</v>
      </c>
      <c r="AY20" s="168">
        <f>(AU20/100)*AX20</f>
        <v>0.47483783840930022</v>
      </c>
      <c r="AZ20" s="168">
        <f>(AY20*365)/12</f>
        <v>14.442984251616215</v>
      </c>
      <c r="BA20" s="168">
        <f>AZ20/((100-AF20)/100)</f>
        <v>16.047760279573573</v>
      </c>
      <c r="BB20" s="168">
        <f>AZ20/(AP20/100)</f>
        <v>4.3702577474075213</v>
      </c>
      <c r="BC20" s="10"/>
      <c r="BD20" s="10"/>
      <c r="BE20" s="10"/>
      <c r="BF20" s="10">
        <v>1500</v>
      </c>
      <c r="BG20" s="129">
        <v>2324.5</v>
      </c>
      <c r="BH20" s="40">
        <v>661.34351949420443</v>
      </c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113">
        <v>6.20116705052006</v>
      </c>
      <c r="BV20" s="113">
        <v>3184.4391983059554</v>
      </c>
      <c r="BW20" s="113">
        <v>1189.9931131827486</v>
      </c>
      <c r="BX20" s="113">
        <v>14856.375288499807</v>
      </c>
      <c r="BY20" s="113">
        <v>2470.6521620458734</v>
      </c>
      <c r="BZ20" s="361">
        <v>3833.4179979999999</v>
      </c>
      <c r="CA20" s="113">
        <v>8141.8380115009422</v>
      </c>
      <c r="CB20" s="113">
        <v>16869.813729036545</v>
      </c>
      <c r="CC20" s="113">
        <v>12.154841679049033</v>
      </c>
      <c r="CD20" s="113">
        <v>0.14167565401188709</v>
      </c>
      <c r="CE20" s="113">
        <v>2.8470351560178308E-2</v>
      </c>
      <c r="CF20" s="113">
        <v>362.2383680011144</v>
      </c>
      <c r="CG20" s="406">
        <v>0.39377204195629545</v>
      </c>
      <c r="CH20" s="113">
        <v>1.2230172657429477</v>
      </c>
      <c r="CI20" s="113">
        <v>36.608472237954295</v>
      </c>
      <c r="CJ20" s="113">
        <v>460.73680750962382</v>
      </c>
      <c r="CK20" s="113">
        <v>0.20968380090387984</v>
      </c>
      <c r="CL20" s="113">
        <v>1.1545491157132244</v>
      </c>
      <c r="CM20" s="113">
        <v>10.969353430123773</v>
      </c>
      <c r="CN20" s="397">
        <v>0.61334646299999995</v>
      </c>
      <c r="CO20" s="113">
        <v>70.912868858007784</v>
      </c>
      <c r="CP20" s="113">
        <v>0.11613662434186044</v>
      </c>
      <c r="CQ20" s="113">
        <v>0.23554141619809796</v>
      </c>
      <c r="CR20" s="113">
        <v>5.5802492061438942</v>
      </c>
      <c r="CS20" s="113">
        <v>12.669933195079544</v>
      </c>
      <c r="CT20" s="113">
        <v>0.51208672216587281</v>
      </c>
      <c r="CU20" s="113">
        <v>2.7604231336314953E-3</v>
      </c>
      <c r="CV20" s="113">
        <v>5.6235227029444182E-2</v>
      </c>
      <c r="CW20" s="113">
        <v>5.071707166969585E-2</v>
      </c>
      <c r="CX20" s="113">
        <v>18.8005782993685</v>
      </c>
      <c r="CY20" s="379">
        <v>7.0465396099554239E-3</v>
      </c>
      <c r="CZ20" s="113">
        <v>0.52018063425877015</v>
      </c>
      <c r="DA20" s="113">
        <v>1.9471644725111443E-2</v>
      </c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>
        <v>13.63782224460827</v>
      </c>
      <c r="DT20" s="10">
        <v>14.044444444444443</v>
      </c>
      <c r="DU20" s="10">
        <v>24.592716208928188</v>
      </c>
      <c r="DV20" s="10">
        <v>2.2333612340069351</v>
      </c>
      <c r="DW20" s="10">
        <v>27.995641706061193</v>
      </c>
      <c r="DX20" s="10">
        <v>23.507937180379464</v>
      </c>
      <c r="DY20" s="10">
        <v>3.9830776462544333</v>
      </c>
      <c r="DZ20" s="10">
        <v>7.4770554493307841</v>
      </c>
      <c r="EA20" s="10">
        <v>15.605207241319958</v>
      </c>
      <c r="EB20" s="10">
        <v>11.440178502731399</v>
      </c>
      <c r="EC20" s="10">
        <v>3.9139045153581917</v>
      </c>
      <c r="ED20" s="352">
        <v>8.6455210637625495</v>
      </c>
      <c r="EE20" s="365">
        <v>17.750887294112811</v>
      </c>
      <c r="EF20" s="365">
        <v>11.331833016708069</v>
      </c>
      <c r="EG20" s="365">
        <v>8.2033624428206515</v>
      </c>
      <c r="EH20" s="365">
        <v>5.1668005613899251</v>
      </c>
      <c r="EI20" s="365">
        <v>11.460679079956186</v>
      </c>
      <c r="EJ20" s="11"/>
      <c r="EK20" s="11"/>
      <c r="EL20" s="11"/>
      <c r="EM20" s="11"/>
      <c r="EN20" s="11"/>
      <c r="EO20" s="11"/>
      <c r="EP20" s="11"/>
      <c r="EQ20" s="11"/>
      <c r="ER20" s="11"/>
      <c r="ES20" s="11"/>
    </row>
    <row r="21" spans="1:149" ht="16.149999999999999" thickBot="1">
      <c r="A21" s="10"/>
      <c r="B21" s="481" t="s">
        <v>326</v>
      </c>
      <c r="C21" s="10" t="s">
        <v>199</v>
      </c>
      <c r="D21" s="10"/>
      <c r="E21" s="10"/>
      <c r="F21" s="423"/>
      <c r="G21" s="24"/>
      <c r="H21" s="10" t="s">
        <v>328</v>
      </c>
      <c r="I21" s="10" t="s">
        <v>40</v>
      </c>
      <c r="J21" s="10" t="s">
        <v>329</v>
      </c>
      <c r="K21" s="10" t="s">
        <v>218</v>
      </c>
      <c r="L21" s="10"/>
      <c r="M21" s="10"/>
      <c r="N21" s="10">
        <v>30</v>
      </c>
      <c r="O21" s="10" t="s">
        <v>330</v>
      </c>
      <c r="P21" s="10" t="s">
        <v>331</v>
      </c>
      <c r="Q21" s="10" t="s">
        <v>207</v>
      </c>
      <c r="R21" s="10" t="s">
        <v>208</v>
      </c>
      <c r="S21" s="10" t="s">
        <v>209</v>
      </c>
      <c r="T21" s="10" t="s">
        <v>221</v>
      </c>
      <c r="U21" s="10" t="s">
        <v>211</v>
      </c>
      <c r="V21" s="168">
        <v>22.01154899597168</v>
      </c>
      <c r="W21" s="10">
        <v>21</v>
      </c>
      <c r="X21" s="164">
        <f>W21/((100-AF21)/100)</f>
        <v>23.333333333333332</v>
      </c>
      <c r="Y21" s="10"/>
      <c r="Z21" s="10">
        <v>11</v>
      </c>
      <c r="AA21" s="178">
        <f>Z21/((100-AF21)/100)</f>
        <v>12.222222222222221</v>
      </c>
      <c r="AB21" s="178">
        <v>3.5</v>
      </c>
      <c r="AC21" s="178">
        <f>AB21/(100-AD21)*100</f>
        <v>3.8461538461538463</v>
      </c>
      <c r="AD21" s="178">
        <v>9</v>
      </c>
      <c r="AE21" s="178">
        <f>AD21/(100-AF21)*100</f>
        <v>10</v>
      </c>
      <c r="AF21" s="10">
        <v>10</v>
      </c>
      <c r="AG21" s="10"/>
      <c r="AH21" s="10">
        <v>50</v>
      </c>
      <c r="AI21" s="10">
        <v>5</v>
      </c>
      <c r="AJ21" s="10" t="s">
        <v>332</v>
      </c>
      <c r="AK21" s="10">
        <v>50</v>
      </c>
      <c r="AL21" s="10"/>
      <c r="AM21" s="164">
        <f>100-(AD21+X21+AF21+Z21+AB21)</f>
        <v>43.166666666666671</v>
      </c>
      <c r="AN21" s="177">
        <f>(W21*5.7)+(Z21*9.4)+((AM21+AB21)*4.1)</f>
        <v>414.43333333333339</v>
      </c>
      <c r="AO21" s="168">
        <f>(AN21*(87.9-(0.88*AC21)))/100</f>
        <v>350.25992564102569</v>
      </c>
      <c r="AP21" s="168">
        <f>AO21-(0.77*X21)</f>
        <v>332.29325897435905</v>
      </c>
      <c r="AQ21" s="168">
        <f>(W21*3.5)+(Z21*8.5)+(AM21*3.5)</f>
        <v>318.08333333333337</v>
      </c>
      <c r="AR21" s="739">
        <f>AQ21/(100-AF21)</f>
        <v>3.5342592592592599</v>
      </c>
      <c r="AS21" s="962">
        <f>AT21*(V21/100)</f>
        <v>62.280515891143331</v>
      </c>
      <c r="AT21" s="168">
        <f t="shared" si="7"/>
        <v>282.94472098506674</v>
      </c>
      <c r="AU21" s="10">
        <v>0.17560000000000001</v>
      </c>
      <c r="AV21" s="170">
        <f t="shared" si="19"/>
        <v>669.07365798133026</v>
      </c>
      <c r="AW21" s="170">
        <f t="shared" si="9"/>
        <v>1229.8373876248841</v>
      </c>
      <c r="AX21" s="168">
        <f>AV21*(100/AQ21)</f>
        <v>210.34539941776163</v>
      </c>
      <c r="AY21" s="168">
        <f>(AU21/100)*AX21</f>
        <v>0.36936652137758941</v>
      </c>
      <c r="AZ21" s="168">
        <f>(AY21*365)/12</f>
        <v>11.234898358568344</v>
      </c>
      <c r="BA21" s="168">
        <f>AZ21/((100-AF21)/100)</f>
        <v>12.483220398409271</v>
      </c>
      <c r="BB21" s="168">
        <f>AZ21/(AP21/100)</f>
        <v>3.381019041206391</v>
      </c>
      <c r="BC21" s="10"/>
      <c r="BD21" s="10"/>
      <c r="BE21" s="10"/>
      <c r="BF21" s="10">
        <v>1200</v>
      </c>
      <c r="BG21" s="10">
        <v>1452.2</v>
      </c>
      <c r="BH21" s="10">
        <v>410.89232381451393</v>
      </c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399">
        <v>3.2769638532557508</v>
      </c>
      <c r="BV21" s="399">
        <v>4923.4193251796278</v>
      </c>
      <c r="BW21" s="399">
        <v>1315.0973168099599</v>
      </c>
      <c r="BX21" s="399">
        <v>21269.06835458038</v>
      </c>
      <c r="BY21" s="399">
        <v>2072.7073981502381</v>
      </c>
      <c r="BZ21" s="361">
        <v>5995.6635740000002</v>
      </c>
      <c r="CA21" s="399">
        <v>4416.9435013853445</v>
      </c>
      <c r="CB21" s="399">
        <v>45288.864672756135</v>
      </c>
      <c r="CC21" s="399">
        <v>22.819008439459942</v>
      </c>
      <c r="CD21" s="399">
        <v>0.12828227986727744</v>
      </c>
      <c r="CE21" s="399">
        <v>6.8202126902155514E-3</v>
      </c>
      <c r="CF21" s="399">
        <v>100.84528067248877</v>
      </c>
      <c r="CG21" s="407">
        <v>0.1883540624102514</v>
      </c>
      <c r="CH21" s="399">
        <v>1.9228459578960451</v>
      </c>
      <c r="CI21" s="399">
        <v>57.729259436348919</v>
      </c>
      <c r="CJ21" s="399">
        <v>279.77964986090757</v>
      </c>
      <c r="CK21" s="399">
        <v>0.11621072165374988</v>
      </c>
      <c r="CL21" s="399">
        <v>1.52330202963579</v>
      </c>
      <c r="CM21" s="399">
        <v>10.299823406752504</v>
      </c>
      <c r="CN21" s="397">
        <v>0.39726771700000002</v>
      </c>
      <c r="CO21" s="113">
        <v>100.70942468357984</v>
      </c>
      <c r="CP21" s="399">
        <v>4.3541889008598456E-2</v>
      </c>
      <c r="CQ21" s="399">
        <v>0.55603852801600617</v>
      </c>
      <c r="CR21" s="399">
        <v>3.1493436586654528</v>
      </c>
      <c r="CS21" s="399">
        <v>82.731919067544652</v>
      </c>
      <c r="CT21" s="399">
        <v>0.30514370493364468</v>
      </c>
      <c r="CU21" s="399">
        <v>1.09430933543159E-3</v>
      </c>
      <c r="CV21" s="399">
        <v>5.362502548362328E-2</v>
      </c>
      <c r="CW21" s="399">
        <v>2.2802176201467475E-2</v>
      </c>
      <c r="CX21" s="399">
        <v>23.912475385557514</v>
      </c>
      <c r="CY21" s="450">
        <v>3.20843019260929E-3</v>
      </c>
      <c r="CZ21" s="399">
        <v>0.51826181551907891</v>
      </c>
      <c r="DA21" s="399">
        <v>1.3148903198562626E-2</v>
      </c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>
        <v>13.989651540821466</v>
      </c>
      <c r="DT21" s="10">
        <v>14.492444444444443</v>
      </c>
      <c r="DU21" s="10">
        <v>20.521608173150305</v>
      </c>
      <c r="DV21" s="10">
        <v>1.9148152576826498</v>
      </c>
      <c r="DW21" s="10">
        <v>34.017327733159938</v>
      </c>
      <c r="DX21" s="10">
        <v>26.642418373831212</v>
      </c>
      <c r="DY21" s="10">
        <v>4.1874449809837184</v>
      </c>
      <c r="DZ21" s="10">
        <v>7.4865200764818365</v>
      </c>
      <c r="EA21" s="10">
        <v>15.133545086135404</v>
      </c>
      <c r="EB21" s="10">
        <v>9.372008925136571</v>
      </c>
      <c r="EC21" s="10">
        <v>3.7552048588639417</v>
      </c>
      <c r="ED21" s="352">
        <v>8.0428908282081828</v>
      </c>
      <c r="EE21" s="365">
        <v>19.218704118771978</v>
      </c>
      <c r="EF21" s="365">
        <v>9.9389400360465672</v>
      </c>
      <c r="EG21" s="365">
        <v>6.7837343313728988</v>
      </c>
      <c r="EH21" s="365">
        <v>4.6829985965251906</v>
      </c>
      <c r="EI21" s="365">
        <v>10.401095290251916</v>
      </c>
    </row>
    <row r="22" spans="1:149" s="10" customFormat="1">
      <c r="A22" s="14" t="s">
        <v>333</v>
      </c>
      <c r="B22" s="47" t="s">
        <v>334</v>
      </c>
      <c r="C22" s="14" t="s">
        <v>211</v>
      </c>
      <c r="D22" s="14" t="s">
        <v>211</v>
      </c>
      <c r="E22" s="14"/>
      <c r="F22" s="14"/>
      <c r="G22" s="15" t="s">
        <v>337</v>
      </c>
      <c r="H22" s="14" t="s">
        <v>2</v>
      </c>
      <c r="I22" s="14" t="s">
        <v>338</v>
      </c>
      <c r="J22" s="14" t="s">
        <v>229</v>
      </c>
      <c r="K22" s="14" t="s">
        <v>245</v>
      </c>
      <c r="L22" s="14">
        <v>0</v>
      </c>
      <c r="M22" s="14">
        <v>0</v>
      </c>
      <c r="N22" s="14">
        <v>0</v>
      </c>
      <c r="O22" s="14" t="s">
        <v>339</v>
      </c>
      <c r="P22" s="14" t="s">
        <v>340</v>
      </c>
      <c r="Q22" s="36" t="s">
        <v>207</v>
      </c>
      <c r="R22" s="36" t="s">
        <v>208</v>
      </c>
      <c r="S22" s="36" t="s">
        <v>209</v>
      </c>
      <c r="T22" s="14" t="s">
        <v>341</v>
      </c>
      <c r="U22" s="14"/>
      <c r="V22" s="185">
        <v>13.359435080000001</v>
      </c>
      <c r="W22" s="14">
        <v>14</v>
      </c>
      <c r="X22" s="165">
        <f t="shared" si="15"/>
        <v>15.469613259668508</v>
      </c>
      <c r="Y22" s="14"/>
      <c r="Z22" s="14">
        <v>18</v>
      </c>
      <c r="AA22" s="180">
        <f t="shared" si="0"/>
        <v>19.88950276243094</v>
      </c>
      <c r="AB22" s="180">
        <v>2.4</v>
      </c>
      <c r="AC22" s="180">
        <f t="shared" si="1"/>
        <v>2.5</v>
      </c>
      <c r="AD22" s="180">
        <v>4</v>
      </c>
      <c r="AE22" s="180">
        <f t="shared" si="2"/>
        <v>4.4198895027624303</v>
      </c>
      <c r="AF22" s="14">
        <v>9.5</v>
      </c>
      <c r="AG22" s="14" t="s">
        <v>79</v>
      </c>
      <c r="AH22" s="14">
        <v>40</v>
      </c>
      <c r="AI22" s="14">
        <v>12</v>
      </c>
      <c r="AJ22" s="14"/>
      <c r="AK22" s="14">
        <v>156</v>
      </c>
      <c r="AL22" s="14"/>
      <c r="AM22" s="165">
        <f t="shared" si="3"/>
        <v>50.630386740331495</v>
      </c>
      <c r="AN22" s="175">
        <f t="shared" si="4"/>
        <v>466.42458563535911</v>
      </c>
      <c r="AO22" s="176">
        <f t="shared" si="5"/>
        <v>399.7258698895028</v>
      </c>
      <c r="AP22" s="176">
        <f t="shared" si="16"/>
        <v>387.81426767955804</v>
      </c>
      <c r="AQ22" s="176">
        <f t="shared" si="17"/>
        <v>379.20635359116022</v>
      </c>
      <c r="AR22" s="740">
        <f t="shared" si="18"/>
        <v>4.1901254540459689</v>
      </c>
      <c r="AS22" s="962">
        <f t="shared" si="6"/>
        <v>31.883138647078415</v>
      </c>
      <c r="AT22" s="176">
        <f t="shared" si="7"/>
        <v>238.65633880589516</v>
      </c>
      <c r="AU22" s="14">
        <v>0.95</v>
      </c>
      <c r="AV22" s="171">
        <f t="shared" si="8"/>
        <v>669.07365798133026</v>
      </c>
      <c r="AW22" s="171">
        <f t="shared" si="9"/>
        <v>1229.8373876248841</v>
      </c>
      <c r="AX22" s="176">
        <f t="shared" si="10"/>
        <v>176.44051890087508</v>
      </c>
      <c r="AY22" s="176">
        <f t="shared" si="11"/>
        <v>1.6761849295583131</v>
      </c>
      <c r="AZ22" s="176">
        <f t="shared" si="12"/>
        <v>50.983958274065351</v>
      </c>
      <c r="BA22" s="176">
        <f t="shared" si="13"/>
        <v>56.335865496204804</v>
      </c>
      <c r="BB22" s="176">
        <f t="shared" si="14"/>
        <v>13.14648854440606</v>
      </c>
      <c r="BC22" s="14"/>
      <c r="BD22" s="14"/>
      <c r="BE22" s="14"/>
      <c r="BF22" s="14">
        <v>1000</v>
      </c>
      <c r="BG22" s="14">
        <v>1279.7</v>
      </c>
      <c r="BH22" s="14">
        <v>305.40851676990405</v>
      </c>
      <c r="BI22" s="14"/>
      <c r="BJ22" s="656">
        <v>4.5601256750000001</v>
      </c>
      <c r="BK22" s="657">
        <v>3.1414769200000001</v>
      </c>
      <c r="BL22" s="656">
        <v>0.12016608000000002</v>
      </c>
      <c r="BM22" s="656">
        <v>21.519628000000001</v>
      </c>
      <c r="BN22" s="656">
        <v>21.30871754</v>
      </c>
      <c r="BO22" s="656">
        <v>5.2822559999999998E-2</v>
      </c>
      <c r="BP22" s="656">
        <v>0.12227849199999999</v>
      </c>
      <c r="BQ22" s="656">
        <v>5.1802916000000003</v>
      </c>
      <c r="BR22" s="656">
        <v>0.42998560000000002</v>
      </c>
      <c r="BS22" s="656">
        <v>907.51839999999993</v>
      </c>
      <c r="BT22" s="656">
        <v>81.322800000000015</v>
      </c>
      <c r="BU22" s="413">
        <v>3.6912045423497273</v>
      </c>
      <c r="BV22" s="413">
        <v>3844.4981073316758</v>
      </c>
      <c r="BW22" s="413">
        <v>973.03946088947862</v>
      </c>
      <c r="BX22" s="413">
        <v>2143.8900176093634</v>
      </c>
      <c r="BY22" s="413">
        <v>3076.8668808589678</v>
      </c>
      <c r="BZ22" s="362">
        <v>11101.122249</v>
      </c>
      <c r="CA22" s="413">
        <v>6012.799823257812</v>
      </c>
      <c r="CB22" s="413">
        <v>3980.25826081779</v>
      </c>
      <c r="CC22" s="413">
        <v>3.2417889685792352</v>
      </c>
      <c r="CD22" s="413">
        <v>5.0468537158469953E-2</v>
      </c>
      <c r="CE22" s="413">
        <v>4.3163137295081973E-3</v>
      </c>
      <c r="CF22" s="413">
        <v>246.28921985177595</v>
      </c>
      <c r="CG22" s="416">
        <v>0.13570678218430621</v>
      </c>
      <c r="CH22" s="413">
        <v>0.34215864719716038</v>
      </c>
      <c r="CI22" s="413">
        <v>66.726795948607219</v>
      </c>
      <c r="CJ22" s="413">
        <v>161.56944906751869</v>
      </c>
      <c r="CK22" s="413">
        <v>7.0567379850322923E-2</v>
      </c>
      <c r="CL22" s="413">
        <v>0.40178533135245903</v>
      </c>
      <c r="CM22" s="413">
        <v>19.898097467204195</v>
      </c>
      <c r="CN22" s="397">
        <v>1.0622211130000001</v>
      </c>
      <c r="CO22" s="413">
        <v>172.34026510965461</v>
      </c>
      <c r="CP22" s="413">
        <v>8.454506119676107E-2</v>
      </c>
      <c r="CQ22" s="413">
        <v>0.13339716484097286</v>
      </c>
      <c r="CR22" s="413">
        <v>3.4959307317458355</v>
      </c>
      <c r="CS22" s="413">
        <v>5.6492083918856499</v>
      </c>
      <c r="CT22" s="413">
        <v>0.258647935164738</v>
      </c>
      <c r="CU22" s="413">
        <v>2.0903007780588259E-3</v>
      </c>
      <c r="CV22" s="413">
        <v>1.83723895902883E-2</v>
      </c>
      <c r="CW22" s="413">
        <v>3.349666563697061E-2</v>
      </c>
      <c r="CX22" s="413">
        <v>6.6526406752049185</v>
      </c>
      <c r="CY22" s="413">
        <v>3.4757590505464478E-3</v>
      </c>
      <c r="CZ22" s="413">
        <v>0.40006107780514877</v>
      </c>
      <c r="DA22" s="415">
        <v>3.3525064788251367E-2</v>
      </c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>
        <v>9.2624021246394062</v>
      </c>
      <c r="DT22" s="14">
        <v>6.1736296296296285</v>
      </c>
      <c r="DU22" s="14">
        <v>15.924211126148585</v>
      </c>
      <c r="DV22" s="14">
        <v>3.058041372713141</v>
      </c>
      <c r="DW22" s="14">
        <v>29.70212466829517</v>
      </c>
      <c r="DX22" s="14">
        <v>10.532018034919965</v>
      </c>
      <c r="DY22" s="14">
        <v>3.5190803811802911</v>
      </c>
      <c r="DZ22" s="14">
        <v>6.2151051625239004</v>
      </c>
      <c r="EA22" s="14">
        <v>21.637186086902094</v>
      </c>
      <c r="EB22" s="14">
        <v>9.1061014080172367</v>
      </c>
      <c r="EC22" s="14">
        <v>5.3992233783043755</v>
      </c>
      <c r="ED22" s="355">
        <v>7.5551061088557745</v>
      </c>
      <c r="EE22" s="367">
        <v>11.519631510764739</v>
      </c>
      <c r="EF22" s="367">
        <v>7.2999123191582624</v>
      </c>
      <c r="EG22" s="367">
        <v>4.173682647181133</v>
      </c>
      <c r="EH22" s="367">
        <v>5.5194308667666858</v>
      </c>
      <c r="EI22" s="367">
        <v>7.1794085432639649</v>
      </c>
      <c r="EJ22" s="11"/>
      <c r="EK22" s="11"/>
      <c r="EL22" s="11"/>
      <c r="EM22" s="11"/>
      <c r="EN22" s="11"/>
      <c r="EO22" s="11"/>
      <c r="EP22" s="11"/>
      <c r="EQ22" s="11"/>
      <c r="ER22" s="11"/>
      <c r="ES22" s="11"/>
    </row>
    <row r="23" spans="1:149" s="10" customFormat="1">
      <c r="A23" s="14" t="s">
        <v>342</v>
      </c>
      <c r="B23" s="47" t="s">
        <v>343</v>
      </c>
      <c r="C23" s="14" t="s">
        <v>211</v>
      </c>
      <c r="D23" s="14" t="s">
        <v>211</v>
      </c>
      <c r="E23" s="14"/>
      <c r="F23" s="14"/>
      <c r="G23" s="15" t="s">
        <v>346</v>
      </c>
      <c r="H23" s="14" t="s">
        <v>347</v>
      </c>
      <c r="I23" s="14" t="s">
        <v>338</v>
      </c>
      <c r="J23" s="14" t="s">
        <v>229</v>
      </c>
      <c r="K23" s="14" t="s">
        <v>245</v>
      </c>
      <c r="L23" s="14">
        <v>0</v>
      </c>
      <c r="M23" s="14">
        <v>0</v>
      </c>
      <c r="N23" s="14">
        <v>0</v>
      </c>
      <c r="O23" s="14" t="s">
        <v>339</v>
      </c>
      <c r="P23" s="14" t="s">
        <v>340</v>
      </c>
      <c r="Q23" s="36" t="s">
        <v>207</v>
      </c>
      <c r="R23" s="36" t="s">
        <v>208</v>
      </c>
      <c r="S23" s="36" t="s">
        <v>209</v>
      </c>
      <c r="T23" s="14" t="s">
        <v>341</v>
      </c>
      <c r="U23" s="14"/>
      <c r="V23" s="176">
        <v>15.766446113586426</v>
      </c>
      <c r="W23" s="14">
        <v>12.5</v>
      </c>
      <c r="X23" s="165">
        <f t="shared" si="15"/>
        <v>13.812154696132596</v>
      </c>
      <c r="Y23" s="14"/>
      <c r="Z23" s="14">
        <v>18</v>
      </c>
      <c r="AA23" s="180">
        <f t="shared" si="0"/>
        <v>19.88950276243094</v>
      </c>
      <c r="AB23" s="180">
        <v>2.4</v>
      </c>
      <c r="AC23" s="180">
        <f t="shared" si="1"/>
        <v>2.510460251046025</v>
      </c>
      <c r="AD23" s="180">
        <v>4.4000000000000004</v>
      </c>
      <c r="AE23" s="180">
        <f t="shared" si="2"/>
        <v>4.8618784530386749</v>
      </c>
      <c r="AF23" s="14">
        <v>9.5</v>
      </c>
      <c r="AG23" s="14"/>
      <c r="AH23" s="14">
        <v>46</v>
      </c>
      <c r="AI23" s="14">
        <v>14</v>
      </c>
      <c r="AJ23" s="14"/>
      <c r="AK23" s="14">
        <v>152</v>
      </c>
      <c r="AL23" s="14"/>
      <c r="AM23" s="165">
        <f t="shared" si="3"/>
        <v>51.887845303867401</v>
      </c>
      <c r="AN23" s="175">
        <f t="shared" si="4"/>
        <v>463.03016574585632</v>
      </c>
      <c r="AO23" s="176">
        <f t="shared" si="5"/>
        <v>396.77423002057373</v>
      </c>
      <c r="AP23" s="176">
        <f t="shared" si="16"/>
        <v>386.13887090455165</v>
      </c>
      <c r="AQ23" s="176">
        <f t="shared" si="17"/>
        <v>378.35745856353594</v>
      </c>
      <c r="AR23" s="740">
        <f t="shared" si="18"/>
        <v>4.1807453984921095</v>
      </c>
      <c r="AS23" s="962">
        <f t="shared" si="6"/>
        <v>37.712045606204555</v>
      </c>
      <c r="AT23" s="176">
        <f t="shared" si="7"/>
        <v>239.19179588421602</v>
      </c>
      <c r="AU23" s="14">
        <v>0.95</v>
      </c>
      <c r="AV23" s="171">
        <f t="shared" si="8"/>
        <v>669.07365798133026</v>
      </c>
      <c r="AW23" s="171">
        <f t="shared" si="9"/>
        <v>1229.8373876248841</v>
      </c>
      <c r="AX23" s="176">
        <f t="shared" si="10"/>
        <v>176.83638655400671</v>
      </c>
      <c r="AY23" s="176">
        <f t="shared" si="11"/>
        <v>1.6799456722630637</v>
      </c>
      <c r="AZ23" s="176">
        <f t="shared" si="12"/>
        <v>51.098347531334859</v>
      </c>
      <c r="BA23" s="176">
        <f t="shared" si="13"/>
        <v>56.462262465563377</v>
      </c>
      <c r="BB23" s="176">
        <f t="shared" si="14"/>
        <v>13.233152987585569</v>
      </c>
      <c r="BC23" s="14"/>
      <c r="BD23" s="14"/>
      <c r="BE23" s="14"/>
      <c r="BF23" s="14">
        <v>1000</v>
      </c>
      <c r="BG23" s="14">
        <v>1126.3</v>
      </c>
      <c r="BH23" s="14">
        <v>269.40171970439246</v>
      </c>
      <c r="BI23" s="14"/>
      <c r="BJ23" s="656">
        <v>3.934949295</v>
      </c>
      <c r="BK23" s="657">
        <v>2.6800595600000001</v>
      </c>
      <c r="BL23" s="656">
        <v>0.44476104</v>
      </c>
      <c r="BM23" s="656">
        <v>20.215893100000002</v>
      </c>
      <c r="BN23" s="656">
        <v>21.764935170000001</v>
      </c>
      <c r="BO23" s="656">
        <v>5.1652440000000001E-2</v>
      </c>
      <c r="BP23" s="656">
        <v>9.1498623999999987E-2</v>
      </c>
      <c r="BQ23" s="656">
        <v>4.8618948399999997</v>
      </c>
      <c r="BR23" s="656">
        <v>0.56215731000000002</v>
      </c>
      <c r="BS23" s="656">
        <v>672.69359999999995</v>
      </c>
      <c r="BT23" s="656">
        <v>71.83514000000001</v>
      </c>
      <c r="BU23" s="413">
        <v>2.0180750245941956</v>
      </c>
      <c r="BV23" s="413">
        <v>3614.4824801130812</v>
      </c>
      <c r="BW23" s="413">
        <v>952.28063430707891</v>
      </c>
      <c r="BX23" s="413">
        <v>3354.5914827243682</v>
      </c>
      <c r="BY23" s="413">
        <v>2613.4036588005515</v>
      </c>
      <c r="BZ23" s="362">
        <v>9501.8086600000006</v>
      </c>
      <c r="CA23" s="413">
        <v>6248.7496109605499</v>
      </c>
      <c r="CB23" s="413">
        <v>4954.9544558601001</v>
      </c>
      <c r="CC23" s="413">
        <v>1.6211031603541564</v>
      </c>
      <c r="CD23" s="413">
        <v>9.2956432857845564E-2</v>
      </c>
      <c r="CE23" s="413">
        <v>4.1122698475159862E-3</v>
      </c>
      <c r="CF23" s="413">
        <v>227.2973240504181</v>
      </c>
      <c r="CG23" s="416">
        <v>0.10079742767563694</v>
      </c>
      <c r="CH23" s="413">
        <v>0.17325684684065909</v>
      </c>
      <c r="CI23" s="413">
        <v>82.871587084794726</v>
      </c>
      <c r="CJ23" s="413">
        <v>112.86938885402566</v>
      </c>
      <c r="CK23" s="413">
        <v>0.12946510910223955</v>
      </c>
      <c r="CL23" s="413">
        <v>0.40754173996556814</v>
      </c>
      <c r="CM23" s="413">
        <v>19.649075318295829</v>
      </c>
      <c r="CN23" s="397">
        <v>1.91751363</v>
      </c>
      <c r="CO23" s="413">
        <v>171.20705153383975</v>
      </c>
      <c r="CP23" s="413">
        <v>4.9642916457782585E-2</v>
      </c>
      <c r="CQ23" s="413">
        <v>0.14514191578994576</v>
      </c>
      <c r="CR23" s="413">
        <v>4.0904352314022638</v>
      </c>
      <c r="CS23" s="413">
        <v>7.2029129978319295</v>
      </c>
      <c r="CT23" s="413">
        <v>0.22305366341862295</v>
      </c>
      <c r="CU23" s="413">
        <v>3.2594035904383511E-3</v>
      </c>
      <c r="CV23" s="413">
        <v>1.8525615133265068E-2</v>
      </c>
      <c r="CW23" s="413">
        <v>3.112410117526403E-2</v>
      </c>
      <c r="CX23" s="413">
        <v>7.6070373545253318</v>
      </c>
      <c r="CY23" s="413">
        <v>8.6404925356615842E-3</v>
      </c>
      <c r="CZ23" s="413">
        <v>0.2119744308912884</v>
      </c>
      <c r="DA23" s="415">
        <v>1.1956480336940483E-2</v>
      </c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>
        <v>8.9116168322725393</v>
      </c>
      <c r="DT23" s="14">
        <v>6.9048888888888884</v>
      </c>
      <c r="DU23" s="14">
        <v>14.765398430901671</v>
      </c>
      <c r="DV23" s="14">
        <v>2.3501614253258403</v>
      </c>
      <c r="DW23" s="14">
        <v>24.262411472154369</v>
      </c>
      <c r="DX23" s="14">
        <v>12.36595152358762</v>
      </c>
      <c r="DY23" s="14">
        <v>3.2667492842186228</v>
      </c>
      <c r="DZ23" s="14">
        <v>5.5431166347992349</v>
      </c>
      <c r="EA23" s="14">
        <v>12.380501009215939</v>
      </c>
      <c r="EB23" s="14">
        <v>8.1581903516196057</v>
      </c>
      <c r="EC23" s="14">
        <v>4.5363369343356394</v>
      </c>
      <c r="ED23" s="355">
        <v>5.4829472251257991</v>
      </c>
      <c r="EE23" s="367">
        <v>8.850367049824186</v>
      </c>
      <c r="EF23" s="367">
        <v>5.8755711432607525</v>
      </c>
      <c r="EG23" s="367">
        <v>4.1208816016158742</v>
      </c>
      <c r="EH23" s="367">
        <v>3.8090887092871326</v>
      </c>
      <c r="EI23" s="367">
        <v>6.3621029572836791</v>
      </c>
      <c r="EJ23" s="11"/>
      <c r="EK23" s="11"/>
      <c r="EL23" s="11"/>
      <c r="EM23" s="11"/>
      <c r="EN23" s="11"/>
      <c r="EO23" s="11"/>
      <c r="EP23" s="11"/>
      <c r="EQ23" s="11"/>
      <c r="ER23" s="11"/>
      <c r="ES23" s="11"/>
    </row>
    <row r="24" spans="1:149" s="10" customFormat="1">
      <c r="A24" s="14" t="s">
        <v>348</v>
      </c>
      <c r="B24" s="47" t="s">
        <v>349</v>
      </c>
      <c r="C24" s="14" t="s">
        <v>211</v>
      </c>
      <c r="D24" s="14"/>
      <c r="E24" s="14"/>
      <c r="F24" s="14"/>
      <c r="G24" s="15" t="s">
        <v>352</v>
      </c>
      <c r="H24" s="14" t="s">
        <v>353</v>
      </c>
      <c r="I24" s="14"/>
      <c r="J24" s="14" t="s">
        <v>229</v>
      </c>
      <c r="K24" s="14" t="s">
        <v>354</v>
      </c>
      <c r="L24" s="14">
        <v>0</v>
      </c>
      <c r="M24" s="14">
        <v>0</v>
      </c>
      <c r="N24" s="14">
        <v>0</v>
      </c>
      <c r="O24" s="14" t="s">
        <v>246</v>
      </c>
      <c r="P24" s="14" t="s">
        <v>238</v>
      </c>
      <c r="Q24" s="36" t="s">
        <v>207</v>
      </c>
      <c r="R24" s="36" t="s">
        <v>208</v>
      </c>
      <c r="S24" s="36" t="s">
        <v>209</v>
      </c>
      <c r="T24" s="14" t="s">
        <v>341</v>
      </c>
      <c r="U24" s="14" t="s">
        <v>211</v>
      </c>
      <c r="V24" s="176">
        <v>19.683095932006836</v>
      </c>
      <c r="W24" s="14">
        <v>13.7</v>
      </c>
      <c r="X24" s="165">
        <f t="shared" si="15"/>
        <v>14.972677595628413</v>
      </c>
      <c r="Y24" s="14"/>
      <c r="Z24" s="14">
        <v>16</v>
      </c>
      <c r="AA24" s="180">
        <f t="shared" si="0"/>
        <v>17.486338797814206</v>
      </c>
      <c r="AB24" s="180">
        <v>1.5</v>
      </c>
      <c r="AC24" s="180">
        <f t="shared" si="1"/>
        <v>1.5</v>
      </c>
      <c r="AD24" s="180"/>
      <c r="AE24" s="180">
        <f t="shared" si="2"/>
        <v>0</v>
      </c>
      <c r="AF24" s="14">
        <v>8.5</v>
      </c>
      <c r="AG24" s="14">
        <v>399</v>
      </c>
      <c r="AH24" s="14">
        <v>58</v>
      </c>
      <c r="AI24" s="14">
        <v>5</v>
      </c>
      <c r="AJ24" s="14" t="s">
        <v>355</v>
      </c>
      <c r="AK24" s="14">
        <v>160</v>
      </c>
      <c r="AL24" s="14">
        <v>2.9</v>
      </c>
      <c r="AM24" s="165">
        <f t="shared" si="3"/>
        <v>59.027322404371589</v>
      </c>
      <c r="AN24" s="175">
        <f t="shared" si="4"/>
        <v>476.6520218579235</v>
      </c>
      <c r="AO24" s="176">
        <f t="shared" si="5"/>
        <v>412.68532052459022</v>
      </c>
      <c r="AP24" s="176">
        <f t="shared" si="16"/>
        <v>401.15635877595633</v>
      </c>
      <c r="AQ24" s="176">
        <f t="shared" si="17"/>
        <v>390.54562841530054</v>
      </c>
      <c r="AR24" s="740">
        <f t="shared" si="18"/>
        <v>4.2682582340470008</v>
      </c>
      <c r="AS24" s="962">
        <f t="shared" si="6"/>
        <v>46.115054086931544</v>
      </c>
      <c r="AT24" s="176">
        <f t="shared" si="7"/>
        <v>234.28760519295898</v>
      </c>
      <c r="AU24" s="14">
        <v>0.69899999999999995</v>
      </c>
      <c r="AV24" s="171">
        <f t="shared" si="8"/>
        <v>669.07365798133026</v>
      </c>
      <c r="AW24" s="171">
        <f t="shared" si="9"/>
        <v>1229.8373876248841</v>
      </c>
      <c r="AX24" s="176">
        <f t="shared" si="10"/>
        <v>171.31766669523364</v>
      </c>
      <c r="AY24" s="176">
        <f t="shared" si="11"/>
        <v>1.1975104901996831</v>
      </c>
      <c r="AZ24" s="176">
        <f t="shared" si="12"/>
        <v>36.424277410240364</v>
      </c>
      <c r="BA24" s="176">
        <f t="shared" si="13"/>
        <v>39.807953453814605</v>
      </c>
      <c r="BB24" s="176">
        <f t="shared" si="14"/>
        <v>9.0798205271832995</v>
      </c>
      <c r="BC24" s="14"/>
      <c r="BD24" s="14"/>
      <c r="BE24" s="14"/>
      <c r="BF24" s="14">
        <v>1208</v>
      </c>
      <c r="BG24" s="14">
        <v>1769.2</v>
      </c>
      <c r="BH24" s="14">
        <v>414.50163110738305</v>
      </c>
      <c r="BI24" s="14"/>
      <c r="BJ24" s="656">
        <v>17.801340175</v>
      </c>
      <c r="BK24" s="656">
        <v>6.1459587999999998</v>
      </c>
      <c r="BL24" s="656">
        <v>0.34596596000000002</v>
      </c>
      <c r="BM24" s="656">
        <v>31.233006999999997</v>
      </c>
      <c r="BN24" s="656">
        <v>40.632307429999997</v>
      </c>
      <c r="BO24" s="656">
        <v>6.3855120000000001E-2</v>
      </c>
      <c r="BP24" s="656">
        <v>7.6360983999999993E-2</v>
      </c>
      <c r="BQ24" s="656">
        <v>6.4609842000000004</v>
      </c>
      <c r="BR24" s="656">
        <v>0.46247883000000006</v>
      </c>
      <c r="BS24" s="656">
        <v>990.94299999999998</v>
      </c>
      <c r="BT24" s="656">
        <v>121.98420000000002</v>
      </c>
      <c r="BU24" s="413">
        <v>0.95990473174366608</v>
      </c>
      <c r="BV24" s="413">
        <v>1649.3983389244338</v>
      </c>
      <c r="BW24" s="413">
        <v>984.45590595974886</v>
      </c>
      <c r="BX24" s="413">
        <v>4068.2730975062736</v>
      </c>
      <c r="BY24" s="413">
        <v>2330.9791942638531</v>
      </c>
      <c r="BZ24" s="362">
        <v>5645.5670799999998</v>
      </c>
      <c r="CA24" s="413">
        <v>8311.7383417170258</v>
      </c>
      <c r="CB24" s="413">
        <v>5708.776187353682</v>
      </c>
      <c r="CC24" s="413">
        <v>0.1836088301043218</v>
      </c>
      <c r="CD24" s="413">
        <v>0.27886859716840534</v>
      </c>
      <c r="CE24" s="413">
        <v>4.5218798062593149E-3</v>
      </c>
      <c r="CF24" s="413">
        <v>221.02188156929955</v>
      </c>
      <c r="CG24" s="416">
        <v>0.12773597106429879</v>
      </c>
      <c r="CH24" s="413">
        <v>0.15201040418321282</v>
      </c>
      <c r="CI24" s="413">
        <v>56.316537214129639</v>
      </c>
      <c r="CJ24" s="413">
        <v>144.28735578520175</v>
      </c>
      <c r="CK24" s="413">
        <v>0.22216013690870223</v>
      </c>
      <c r="CL24" s="413">
        <v>0.37658873312220564</v>
      </c>
      <c r="CM24" s="413">
        <v>12.3915118161019</v>
      </c>
      <c r="CN24" s="397">
        <v>1.0580835159999999</v>
      </c>
      <c r="CO24" s="413">
        <v>204.61411121153841</v>
      </c>
      <c r="CP24" s="413">
        <v>0.24143672182743642</v>
      </c>
      <c r="CQ24" s="413">
        <v>0.40856469272505003</v>
      </c>
      <c r="CR24" s="413">
        <v>4.0721442999965065</v>
      </c>
      <c r="CS24" s="413">
        <v>13.471002134935036</v>
      </c>
      <c r="CT24" s="413">
        <v>0.32609695296910712</v>
      </c>
      <c r="CU24" s="413">
        <v>5.0809837516636397E-2</v>
      </c>
      <c r="CV24" s="413">
        <v>3.8357266527832119E-2</v>
      </c>
      <c r="CW24" s="413">
        <v>2.8122077864914777E-2</v>
      </c>
      <c r="CX24" s="413">
        <v>5.5689365223174363</v>
      </c>
      <c r="CY24" s="413">
        <v>4.4515916169895683E-3</v>
      </c>
      <c r="CZ24" s="413">
        <v>0.13207830851942573</v>
      </c>
      <c r="DA24" s="415">
        <v>2.4312782451564832E-2</v>
      </c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>
        <v>5.3348873653281093</v>
      </c>
      <c r="DT24" s="14">
        <v>5.4651448639157154</v>
      </c>
      <c r="DU24" s="14">
        <v>5.0737980941463068</v>
      </c>
      <c r="DV24" s="14">
        <v>2.0490092002830855</v>
      </c>
      <c r="DW24" s="14">
        <v>16.016143462096661</v>
      </c>
      <c r="DX24" s="14">
        <v>10.307846836847945</v>
      </c>
      <c r="DY24" s="14">
        <v>3.1149127992905701</v>
      </c>
      <c r="DZ24" s="14">
        <v>4.394504954549177</v>
      </c>
      <c r="EA24" s="14">
        <v>7.2258754090339155</v>
      </c>
      <c r="EB24" s="14">
        <v>6.3226837060702881</v>
      </c>
      <c r="EC24" s="14">
        <v>3.606003463536656</v>
      </c>
      <c r="ED24" s="355">
        <v>4.4235128650616362</v>
      </c>
      <c r="EE24" s="367">
        <v>5.5950317416505646</v>
      </c>
      <c r="EF24" s="367">
        <v>26.957642857142858</v>
      </c>
      <c r="EG24" s="367">
        <v>3.9151685393258426</v>
      </c>
      <c r="EH24" s="367">
        <v>2.8414715719063546</v>
      </c>
      <c r="EI24" s="367">
        <v>5.0722282490778907</v>
      </c>
      <c r="EJ24" s="11"/>
      <c r="EK24" s="11"/>
      <c r="EL24" s="11"/>
      <c r="EM24" s="11"/>
      <c r="EN24" s="11"/>
      <c r="EO24" s="11"/>
      <c r="EP24" s="11"/>
      <c r="EQ24" s="11"/>
      <c r="ER24" s="11"/>
      <c r="ES24" s="11"/>
    </row>
    <row r="25" spans="1:149" s="10" customFormat="1">
      <c r="A25" s="14" t="s">
        <v>80</v>
      </c>
      <c r="B25" s="47" t="s">
        <v>356</v>
      </c>
      <c r="C25" s="14" t="s">
        <v>211</v>
      </c>
      <c r="D25" s="14" t="s">
        <v>211</v>
      </c>
      <c r="E25" s="358"/>
      <c r="F25" s="360"/>
      <c r="G25" s="14" t="s">
        <v>359</v>
      </c>
      <c r="H25" s="14" t="s">
        <v>360</v>
      </c>
      <c r="I25" s="14" t="s">
        <v>338</v>
      </c>
      <c r="J25" s="14" t="s">
        <v>267</v>
      </c>
      <c r="K25" s="14" t="s">
        <v>245</v>
      </c>
      <c r="L25" s="14">
        <v>0</v>
      </c>
      <c r="M25" s="14">
        <v>0</v>
      </c>
      <c r="N25" s="14">
        <v>0</v>
      </c>
      <c r="O25" s="14" t="s">
        <v>361</v>
      </c>
      <c r="P25" s="14" t="s">
        <v>275</v>
      </c>
      <c r="Q25" s="36" t="s">
        <v>207</v>
      </c>
      <c r="R25" s="36" t="s">
        <v>208</v>
      </c>
      <c r="S25" s="36" t="s">
        <v>209</v>
      </c>
      <c r="T25" s="14" t="s">
        <v>210</v>
      </c>
      <c r="U25" s="14"/>
      <c r="V25" s="176">
        <v>17.388208389282227</v>
      </c>
      <c r="W25" s="14">
        <v>13.7</v>
      </c>
      <c r="X25" s="165">
        <f t="shared" si="15"/>
        <v>15.222222222222221</v>
      </c>
      <c r="Y25" s="14"/>
      <c r="Z25" s="14">
        <v>19.2</v>
      </c>
      <c r="AA25" s="180">
        <f t="shared" si="0"/>
        <v>21.333333333333332</v>
      </c>
      <c r="AB25" s="180">
        <v>3.3</v>
      </c>
      <c r="AC25" s="180">
        <f t="shared" si="1"/>
        <v>3.4446764091858038</v>
      </c>
      <c r="AD25" s="180">
        <v>4.2</v>
      </c>
      <c r="AE25" s="180">
        <f t="shared" si="2"/>
        <v>4.666666666666667</v>
      </c>
      <c r="AF25" s="14">
        <v>10</v>
      </c>
      <c r="AG25" s="14"/>
      <c r="AH25" s="14">
        <v>82.7</v>
      </c>
      <c r="AI25" s="14">
        <v>8.1999999999999993</v>
      </c>
      <c r="AJ25" s="14"/>
      <c r="AK25" s="14">
        <v>171</v>
      </c>
      <c r="AL25" s="14"/>
      <c r="AM25" s="165">
        <f t="shared" si="3"/>
        <v>48.077777777777783</v>
      </c>
      <c r="AN25" s="175">
        <f t="shared" si="4"/>
        <v>469.21888888888884</v>
      </c>
      <c r="AO25" s="176">
        <f t="shared" si="5"/>
        <v>398.21989964509396</v>
      </c>
      <c r="AP25" s="176">
        <f t="shared" si="16"/>
        <v>386.49878853398286</v>
      </c>
      <c r="AQ25" s="176">
        <f t="shared" si="17"/>
        <v>379.42222222222222</v>
      </c>
      <c r="AR25" s="740">
        <f t="shared" si="18"/>
        <v>4.2158024691358023</v>
      </c>
      <c r="AS25" s="962">
        <f t="shared" si="6"/>
        <v>41.245310985470901</v>
      </c>
      <c r="AT25" s="176">
        <f t="shared" si="7"/>
        <v>237.20276443715593</v>
      </c>
      <c r="AU25" s="14">
        <v>1.175</v>
      </c>
      <c r="AV25" s="171">
        <f t="shared" si="8"/>
        <v>669.07365798133026</v>
      </c>
      <c r="AW25" s="171">
        <f t="shared" si="9"/>
        <v>1229.8373876248841</v>
      </c>
      <c r="AX25" s="176">
        <f t="shared" si="10"/>
        <v>176.3401347613908</v>
      </c>
      <c r="AY25" s="176">
        <f t="shared" si="11"/>
        <v>2.0719965834463419</v>
      </c>
      <c r="AZ25" s="176">
        <f t="shared" si="12"/>
        <v>63.023229413159562</v>
      </c>
      <c r="BA25" s="176">
        <f t="shared" si="13"/>
        <v>70.025810459066179</v>
      </c>
      <c r="BB25" s="176">
        <f t="shared" si="14"/>
        <v>16.306190674545476</v>
      </c>
      <c r="BC25" s="14"/>
      <c r="BD25" s="14"/>
      <c r="BE25" s="14"/>
      <c r="BF25" s="14">
        <v>800</v>
      </c>
      <c r="BG25" s="14">
        <v>1027.2</v>
      </c>
      <c r="BH25" s="14">
        <v>243.65467962984658</v>
      </c>
      <c r="BI25" s="14"/>
      <c r="BJ25" s="656">
        <v>29.825636644999999</v>
      </c>
      <c r="BK25" s="656">
        <v>9.7210024399999995</v>
      </c>
      <c r="BL25" s="656">
        <v>9.6963279999999999E-2</v>
      </c>
      <c r="BM25" s="656">
        <v>222.19877680000002</v>
      </c>
      <c r="BN25" s="656">
        <v>31.112025450000001</v>
      </c>
      <c r="BO25" s="656">
        <v>3.3264839999999997E-2</v>
      </c>
      <c r="BP25" s="656">
        <v>7.955670799999999E-2</v>
      </c>
      <c r="BQ25" s="656">
        <v>8.6121078999999998</v>
      </c>
      <c r="BR25" s="656">
        <v>0.10627485</v>
      </c>
      <c r="BS25" s="656">
        <v>828.94919999999991</v>
      </c>
      <c r="BT25" s="656">
        <v>100.29812000000001</v>
      </c>
      <c r="BU25" s="413">
        <v>2.4959702457795432</v>
      </c>
      <c r="BV25" s="413">
        <v>1826.3539274901589</v>
      </c>
      <c r="BW25" s="413">
        <v>886.66656778962522</v>
      </c>
      <c r="BX25" s="413">
        <v>2468.1026978891236</v>
      </c>
      <c r="BY25" s="413">
        <v>2829.0344198612411</v>
      </c>
      <c r="BZ25" s="362">
        <v>6273.2444869999999</v>
      </c>
      <c r="CA25" s="413">
        <v>5992.2121438168169</v>
      </c>
      <c r="CB25" s="413">
        <v>3211.3424072430771</v>
      </c>
      <c r="CC25" s="413">
        <v>3.3769266881827216</v>
      </c>
      <c r="CD25" s="413" t="e">
        <v>#VALUE!</v>
      </c>
      <c r="CE25" s="413">
        <v>7.1689836643495531E-3</v>
      </c>
      <c r="CF25" s="413">
        <v>96.227889570134067</v>
      </c>
      <c r="CG25" s="416">
        <v>0.12760671319923686</v>
      </c>
      <c r="CH25" s="413">
        <v>0.46718072528222909</v>
      </c>
      <c r="CI25" s="413">
        <v>34.239598308531356</v>
      </c>
      <c r="CJ25" s="413">
        <v>185.56528568958538</v>
      </c>
      <c r="CK25" s="413">
        <v>0.11766171196938104</v>
      </c>
      <c r="CL25" s="413">
        <v>0.40947756043942407</v>
      </c>
      <c r="CM25" s="413">
        <v>10.354407030044483</v>
      </c>
      <c r="CN25" s="397">
        <v>1.1634808059999999</v>
      </c>
      <c r="CO25" s="413">
        <v>130.38491218730005</v>
      </c>
      <c r="CP25" s="413">
        <v>9.7844270639799585E-2</v>
      </c>
      <c r="CQ25" s="413">
        <v>0.2663982299998216</v>
      </c>
      <c r="CR25" s="413">
        <v>4.9841951037192205</v>
      </c>
      <c r="CS25" s="413">
        <v>3.864866247778191</v>
      </c>
      <c r="CT25" s="413">
        <v>0.34586189037493392</v>
      </c>
      <c r="CU25" s="413">
        <v>1.814910140775497E-3</v>
      </c>
      <c r="CV25" s="413">
        <v>3.5055751519533926E-2</v>
      </c>
      <c r="CW25" s="413">
        <v>3.6030137000838534E-2</v>
      </c>
      <c r="CX25" s="413">
        <v>3.3516747005585898</v>
      </c>
      <c r="CY25" s="413">
        <v>2.8463010290466734E-3</v>
      </c>
      <c r="CZ25" s="413">
        <v>6.7075932681225484E-2</v>
      </c>
      <c r="DA25" s="413">
        <v>2.0992464175769613E-2</v>
      </c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>
        <v>7.8958010897934878</v>
      </c>
      <c r="DT25" s="14">
        <v>9.5028148148148155</v>
      </c>
      <c r="DU25" s="14">
        <v>19.387217241765285</v>
      </c>
      <c r="DV25" s="14">
        <v>2.838598589023078</v>
      </c>
      <c r="DW25" s="14">
        <v>20.536351334727517</v>
      </c>
      <c r="DX25" s="14">
        <v>10.089993040215452</v>
      </c>
      <c r="DY25" s="14">
        <v>3.4940558095807868</v>
      </c>
      <c r="DZ25" s="14">
        <v>7.1615678776290634</v>
      </c>
      <c r="EA25" s="14">
        <v>13.29608048692713</v>
      </c>
      <c r="EB25" s="14">
        <v>13.913364622605217</v>
      </c>
      <c r="EC25" s="14">
        <v>7.1346144272414991</v>
      </c>
      <c r="ED25" s="355">
        <v>7.1451199649950157</v>
      </c>
      <c r="EE25" s="367">
        <v>6.427410499475644</v>
      </c>
      <c r="EF25" s="367">
        <v>6.3184665595011928</v>
      </c>
      <c r="EG25" s="367">
        <v>5.776914394344443</v>
      </c>
      <c r="EH25" s="367">
        <v>4.9334172191840491</v>
      </c>
      <c r="EI25" s="367">
        <v>8.8186199342825837</v>
      </c>
      <c r="EJ25" s="11"/>
      <c r="EK25" s="11"/>
      <c r="EL25" s="11"/>
      <c r="EM25" s="11"/>
      <c r="EN25" s="11"/>
      <c r="EO25" s="11"/>
      <c r="EP25" s="11"/>
      <c r="EQ25" s="11"/>
      <c r="ER25" s="11"/>
      <c r="ES25" s="11"/>
    </row>
    <row r="26" spans="1:149" s="14" customFormat="1">
      <c r="A26" s="14" t="s">
        <v>362</v>
      </c>
      <c r="B26" s="47" t="s">
        <v>363</v>
      </c>
      <c r="C26" s="14" t="s">
        <v>211</v>
      </c>
      <c r="F26" s="16"/>
      <c r="G26" s="14" t="s">
        <v>366</v>
      </c>
      <c r="H26" s="14" t="s">
        <v>2</v>
      </c>
      <c r="I26" s="14" t="s">
        <v>338</v>
      </c>
      <c r="J26" s="14" t="s">
        <v>238</v>
      </c>
      <c r="K26" s="14" t="s">
        <v>245</v>
      </c>
      <c r="L26" s="14">
        <v>0</v>
      </c>
      <c r="M26" s="14">
        <v>0</v>
      </c>
      <c r="N26" s="14">
        <v>0</v>
      </c>
      <c r="O26" s="14" t="s">
        <v>229</v>
      </c>
      <c r="P26" s="14" t="s">
        <v>367</v>
      </c>
      <c r="Q26" s="36" t="s">
        <v>207</v>
      </c>
      <c r="R26" s="36" t="s">
        <v>208</v>
      </c>
      <c r="S26" s="36" t="s">
        <v>209</v>
      </c>
      <c r="T26" s="14" t="s">
        <v>210</v>
      </c>
      <c r="V26" s="176">
        <v>16.312013626098633</v>
      </c>
      <c r="W26" s="14">
        <v>13</v>
      </c>
      <c r="X26" s="165">
        <f t="shared" si="15"/>
        <v>14.444444444444445</v>
      </c>
      <c r="Z26" s="14">
        <v>14.5</v>
      </c>
      <c r="AA26" s="180">
        <f t="shared" si="0"/>
        <v>16.111111111111111</v>
      </c>
      <c r="AB26" s="180">
        <v>2</v>
      </c>
      <c r="AC26" s="180">
        <f t="shared" si="1"/>
        <v>2.0942408376963351</v>
      </c>
      <c r="AD26" s="180">
        <v>4.5</v>
      </c>
      <c r="AE26" s="180">
        <f t="shared" si="2"/>
        <v>5</v>
      </c>
      <c r="AF26" s="167">
        <v>10</v>
      </c>
      <c r="AH26" s="14">
        <v>100</v>
      </c>
      <c r="AI26" s="14">
        <v>15</v>
      </c>
      <c r="AJ26" s="14" t="s">
        <v>368</v>
      </c>
      <c r="AK26" s="14">
        <v>160</v>
      </c>
      <c r="AM26" s="165">
        <f t="shared" si="3"/>
        <v>54.555555555555557</v>
      </c>
      <c r="AN26" s="175">
        <f t="shared" si="4"/>
        <v>442.27777777777783</v>
      </c>
      <c r="AO26" s="176">
        <f t="shared" si="5"/>
        <v>380.61128824898202</v>
      </c>
      <c r="AP26" s="176">
        <f t="shared" si="16"/>
        <v>369.48906602675982</v>
      </c>
      <c r="AQ26" s="176">
        <f t="shared" si="17"/>
        <v>359.69444444444446</v>
      </c>
      <c r="AR26" s="740">
        <f t="shared" si="18"/>
        <v>3.9966049382716049</v>
      </c>
      <c r="AS26" s="962">
        <f t="shared" si="6"/>
        <v>40.814676151486267</v>
      </c>
      <c r="AT26" s="176">
        <f t="shared" si="7"/>
        <v>250.21237161170748</v>
      </c>
      <c r="AU26" s="14">
        <v>0.94</v>
      </c>
      <c r="AV26" s="171">
        <f t="shared" si="8"/>
        <v>669.07365798133026</v>
      </c>
      <c r="AW26" s="171">
        <f t="shared" si="9"/>
        <v>1229.8373876248841</v>
      </c>
      <c r="AX26" s="176">
        <f t="shared" si="10"/>
        <v>186.01167416269897</v>
      </c>
      <c r="AY26" s="176">
        <f t="shared" si="11"/>
        <v>1.7485097371293701</v>
      </c>
      <c r="AZ26" s="176">
        <f t="shared" si="12"/>
        <v>53.183837837685012</v>
      </c>
      <c r="BA26" s="176">
        <f t="shared" si="13"/>
        <v>59.093153152983348</v>
      </c>
      <c r="BB26" s="176">
        <f t="shared" si="14"/>
        <v>14.393886782520713</v>
      </c>
      <c r="BF26" s="14">
        <v>1000</v>
      </c>
      <c r="BG26" s="14">
        <v>677.4</v>
      </c>
      <c r="BH26" s="14">
        <v>169.49386052977064</v>
      </c>
      <c r="BJ26" s="656">
        <v>20.083923885000001</v>
      </c>
      <c r="BK26" s="656">
        <v>10.654751600000001</v>
      </c>
      <c r="BL26" s="656">
        <v>7.7668319999999999E-2</v>
      </c>
      <c r="BM26" s="656">
        <v>133.27149940000001</v>
      </c>
      <c r="BN26" s="656">
        <v>46.934950700000002</v>
      </c>
      <c r="BO26" s="656">
        <v>0.1094898</v>
      </c>
      <c r="BP26" s="656">
        <v>0.14582593199999999</v>
      </c>
      <c r="BQ26" s="656">
        <v>8.2202870200000007</v>
      </c>
      <c r="BR26" s="656">
        <v>0.10627485</v>
      </c>
      <c r="BS26" s="656">
        <v>842.63259999999991</v>
      </c>
      <c r="BT26" s="656">
        <v>113.85192000000002</v>
      </c>
      <c r="BU26" s="413">
        <v>3.0013068237304683</v>
      </c>
      <c r="BV26" s="413">
        <v>2113.1179021106664</v>
      </c>
      <c r="BW26" s="413">
        <v>722.24043242355458</v>
      </c>
      <c r="BX26" s="413">
        <v>4104.9983464271427</v>
      </c>
      <c r="BY26" s="413">
        <v>2185.7779014717426</v>
      </c>
      <c r="BZ26" s="362">
        <v>8453.9294879999998</v>
      </c>
      <c r="CA26" s="413">
        <v>7801.1930635933732</v>
      </c>
      <c r="CB26" s="413">
        <v>5070.9474899617207</v>
      </c>
      <c r="CC26" s="413">
        <v>2.3303944335937503</v>
      </c>
      <c r="CD26" s="413" t="e">
        <v>#VALUE!</v>
      </c>
      <c r="CE26" s="413">
        <v>2.5033420898437502E-2</v>
      </c>
      <c r="CF26" s="413">
        <v>44.173781901489257</v>
      </c>
      <c r="CG26" s="416">
        <v>0.34780362975169027</v>
      </c>
      <c r="CH26" s="413">
        <v>0.57515680972206085</v>
      </c>
      <c r="CI26" s="413">
        <v>54.486518650726005</v>
      </c>
      <c r="CJ26" s="413">
        <v>166.21490877041563</v>
      </c>
      <c r="CK26" s="413">
        <v>0.12084485566698032</v>
      </c>
      <c r="CL26" s="413">
        <v>0.31864942650146483</v>
      </c>
      <c r="CM26" s="413">
        <v>16.265029706045503</v>
      </c>
      <c r="CN26" s="397">
        <v>1.0811489620000001</v>
      </c>
      <c r="CO26" s="413">
        <v>173.762939573116</v>
      </c>
      <c r="CP26" s="413">
        <v>5.4095446675649236E-2</v>
      </c>
      <c r="CQ26" s="413">
        <v>0.32884756753187511</v>
      </c>
      <c r="CR26" s="413">
        <v>3.856926610211707</v>
      </c>
      <c r="CS26" s="413">
        <v>5.1273745068258805</v>
      </c>
      <c r="CT26" s="413">
        <v>0.24623135498776949</v>
      </c>
      <c r="CU26" s="413">
        <v>5.0012726351359631E-4</v>
      </c>
      <c r="CV26" s="413">
        <v>5.6167187002737394E-2</v>
      </c>
      <c r="CW26" s="413">
        <v>9.9531929816041829E-3</v>
      </c>
      <c r="CX26" s="413">
        <v>1.7401510634399415</v>
      </c>
      <c r="CY26" s="413">
        <v>3.0509757678222654E-3</v>
      </c>
      <c r="CZ26" s="413">
        <v>1.2518328143630983E-2</v>
      </c>
      <c r="DA26" s="413">
        <v>0.29984025805664055</v>
      </c>
      <c r="DS26" s="14">
        <v>8.0075095013507944</v>
      </c>
      <c r="DT26" s="14">
        <v>7.4856296296296287</v>
      </c>
      <c r="DU26" s="14">
        <v>19.002574460940437</v>
      </c>
      <c r="DV26" s="14">
        <v>2.5430587109888796</v>
      </c>
      <c r="DW26" s="14">
        <v>19.507442489851151</v>
      </c>
      <c r="DX26" s="14">
        <v>8.7061457923563434</v>
      </c>
      <c r="DY26" s="14">
        <v>3.2657065937353105</v>
      </c>
      <c r="DZ26" s="14">
        <v>6.8744741873804962</v>
      </c>
      <c r="EA26" s="14">
        <v>14.724939368809748</v>
      </c>
      <c r="EB26" s="14">
        <v>15.482957605601294</v>
      </c>
      <c r="EC26" s="14">
        <v>4.8386219943246873</v>
      </c>
      <c r="ED26" s="355">
        <v>6.7178452488027816</v>
      </c>
      <c r="EE26" s="367">
        <v>6.8286360551911338</v>
      </c>
      <c r="EF26" s="367">
        <v>7.7021871498855274</v>
      </c>
      <c r="EG26" s="367">
        <v>5.4565080496643494</v>
      </c>
      <c r="EH26" s="367">
        <v>4.2741518656535842</v>
      </c>
      <c r="EI26" s="367">
        <v>8.0825848849945228</v>
      </c>
      <c r="EJ26" s="11"/>
      <c r="EK26" s="11"/>
      <c r="EL26" s="11"/>
      <c r="EM26" s="11"/>
      <c r="EN26" s="11"/>
      <c r="EO26" s="11"/>
      <c r="EP26" s="11"/>
      <c r="EQ26" s="11"/>
      <c r="ER26" s="11"/>
      <c r="ES26" s="11"/>
    </row>
    <row r="27" spans="1:149" s="36" customFormat="1">
      <c r="A27" s="36" t="s">
        <v>369</v>
      </c>
      <c r="B27" s="473" t="s">
        <v>370</v>
      </c>
      <c r="C27" s="36" t="s">
        <v>211</v>
      </c>
      <c r="F27" s="52"/>
      <c r="G27" s="52"/>
      <c r="H27" s="36" t="s">
        <v>371</v>
      </c>
      <c r="J27" s="36" t="s">
        <v>229</v>
      </c>
      <c r="K27" s="36" t="s">
        <v>245</v>
      </c>
      <c r="N27" s="36" t="s">
        <v>79</v>
      </c>
      <c r="O27" s="36" t="s">
        <v>372</v>
      </c>
      <c r="P27" s="36" t="s">
        <v>253</v>
      </c>
      <c r="Q27" s="36" t="s">
        <v>207</v>
      </c>
      <c r="R27" s="36" t="s">
        <v>208</v>
      </c>
      <c r="S27" s="36" t="s">
        <v>209</v>
      </c>
      <c r="T27" s="36" t="s">
        <v>221</v>
      </c>
      <c r="V27" s="36">
        <v>16</v>
      </c>
      <c r="W27" s="36">
        <v>16</v>
      </c>
      <c r="X27" s="487">
        <f>W27/((100-AF27)/100)</f>
        <v>17.777777777777779</v>
      </c>
      <c r="Z27" s="36">
        <v>18</v>
      </c>
      <c r="AB27" s="36">
        <v>2.5</v>
      </c>
      <c r="AD27" s="36">
        <v>4.5</v>
      </c>
      <c r="AF27" s="36">
        <v>10</v>
      </c>
      <c r="AL27" s="36">
        <v>2000</v>
      </c>
      <c r="AM27" s="487">
        <f>100-(AD27+X27+AF27+Z27+AB27)</f>
        <v>47.222222222222221</v>
      </c>
      <c r="AN27" s="488">
        <f>(W27*5.7)+(Z27*9.4)+((AM27+AB27)*4.1)</f>
        <v>464.26111111111112</v>
      </c>
      <c r="AO27" s="485">
        <f t="shared" ref="AO27" si="20">(AN27*(87.9-(0.88*AC27)))/100</f>
        <v>408.08551666666676</v>
      </c>
      <c r="AP27" s="485">
        <f t="shared" ref="AP27" si="21">AO27-(0.77*X27)</f>
        <v>394.39662777777789</v>
      </c>
      <c r="AQ27" s="485">
        <f t="shared" ref="AQ27" si="22">(W27*3.5)+(Z27*8.5)+(AM27*3.5)</f>
        <v>374.27777777777777</v>
      </c>
      <c r="AR27" s="741">
        <f>AQ27/(100-AF27)</f>
        <v>4.1586419753086421</v>
      </c>
      <c r="AS27" s="962">
        <f>AT27*(V27/100)</f>
        <v>38.474098263321956</v>
      </c>
      <c r="AT27" s="485">
        <f t="shared" si="7"/>
        <v>240.4631141457622</v>
      </c>
      <c r="AW27" s="736">
        <f t="shared" si="9"/>
        <v>1229.8373876248841</v>
      </c>
      <c r="BU27" s="474">
        <v>5.9878270979789106</v>
      </c>
      <c r="BV27" s="474">
        <v>863.284497956942</v>
      </c>
      <c r="BW27" s="474">
        <v>900.91794523286478</v>
      </c>
      <c r="BX27" s="474">
        <v>3190.1176303602811</v>
      </c>
      <c r="BY27" s="474">
        <v>2686.7129236818982</v>
      </c>
      <c r="BZ27" s="475">
        <v>784.05132001318111</v>
      </c>
      <c r="CA27" s="474">
        <v>6012.5802790202124</v>
      </c>
      <c r="CB27" s="474">
        <v>3586.5723886753076</v>
      </c>
      <c r="CC27" s="474">
        <v>12.139080085676627</v>
      </c>
      <c r="CD27" s="474">
        <v>9.4337092486818982E-3</v>
      </c>
      <c r="CE27" s="474">
        <v>1.98094362917399E-3</v>
      </c>
      <c r="CF27" s="474">
        <v>22.03058122539543</v>
      </c>
      <c r="CG27" s="474">
        <v>4.3053342574692448E-2</v>
      </c>
      <c r="CH27" s="474">
        <v>0.38043343714850614</v>
      </c>
      <c r="CI27" s="474">
        <v>41.410878751384004</v>
      </c>
      <c r="CJ27" s="474">
        <v>82.334305647297896</v>
      </c>
      <c r="CK27" s="474">
        <v>6.8309891684973645E-2</v>
      </c>
      <c r="CL27" s="476">
        <v>0.78674089735281183</v>
      </c>
      <c r="CM27" s="474">
        <v>11.94022820858963</v>
      </c>
      <c r="CN27" s="43"/>
      <c r="CO27" s="474">
        <v>76.998168368079973</v>
      </c>
      <c r="CP27" s="474">
        <v>0.10790533754393673</v>
      </c>
      <c r="CQ27" s="474">
        <v>0.23928873605008791</v>
      </c>
      <c r="CR27" s="474">
        <v>5.103041765806239</v>
      </c>
      <c r="CS27" s="474">
        <v>4.0601928598088755</v>
      </c>
      <c r="CT27" s="474">
        <v>0.84585701523506152</v>
      </c>
      <c r="CU27" s="474" t="s">
        <v>373</v>
      </c>
      <c r="CV27" s="474">
        <v>1.7955268859841833E-2</v>
      </c>
      <c r="CW27" s="474">
        <v>2.583616845342707E-2</v>
      </c>
      <c r="CX27" s="474">
        <v>1.5997629023066784</v>
      </c>
      <c r="CY27" s="474">
        <v>1.8611824033391915E-3</v>
      </c>
      <c r="CZ27" s="474">
        <v>1.5422794277240772E-2</v>
      </c>
      <c r="DA27" s="474">
        <v>2.9923996265377858E-3</v>
      </c>
    </row>
    <row r="28" spans="1:149" s="14" customFormat="1">
      <c r="A28" s="13" t="s">
        <v>374</v>
      </c>
      <c r="B28" s="48" t="s">
        <v>375</v>
      </c>
      <c r="C28" s="13" t="s">
        <v>199</v>
      </c>
      <c r="D28" s="13"/>
      <c r="E28" s="13"/>
      <c r="F28" s="13"/>
      <c r="G28" s="13" t="s">
        <v>378</v>
      </c>
      <c r="H28" s="37" t="s">
        <v>379</v>
      </c>
      <c r="I28" s="13" t="s">
        <v>40</v>
      </c>
      <c r="J28" s="13" t="s">
        <v>325</v>
      </c>
      <c r="K28" s="13" t="s">
        <v>218</v>
      </c>
      <c r="L28" s="13">
        <v>0</v>
      </c>
      <c r="M28" s="13">
        <v>0</v>
      </c>
      <c r="N28" s="13" t="s">
        <v>79</v>
      </c>
      <c r="O28" s="13" t="s">
        <v>217</v>
      </c>
      <c r="P28" s="13" t="s">
        <v>380</v>
      </c>
      <c r="Q28" s="37" t="s">
        <v>207</v>
      </c>
      <c r="R28" s="37" t="s">
        <v>208</v>
      </c>
      <c r="S28" s="37" t="s">
        <v>209</v>
      </c>
      <c r="T28" s="13" t="s">
        <v>221</v>
      </c>
      <c r="U28" s="13" t="s">
        <v>211</v>
      </c>
      <c r="V28" s="186">
        <v>21.86770439</v>
      </c>
      <c r="W28" s="13">
        <v>20</v>
      </c>
      <c r="X28" s="166">
        <f t="shared" si="15"/>
        <v>22.222222222222221</v>
      </c>
      <c r="Y28" s="13"/>
      <c r="Z28" s="13">
        <v>11</v>
      </c>
      <c r="AA28" s="181">
        <f t="shared" si="0"/>
        <v>12.222222222222221</v>
      </c>
      <c r="AB28" s="181">
        <v>3</v>
      </c>
      <c r="AC28" s="181">
        <f t="shared" si="1"/>
        <v>3.2188841201716736</v>
      </c>
      <c r="AD28" s="181">
        <v>6.8</v>
      </c>
      <c r="AE28" s="181">
        <f t="shared" si="2"/>
        <v>7.5555555555555554</v>
      </c>
      <c r="AF28" s="13">
        <v>10</v>
      </c>
      <c r="AG28" s="13"/>
      <c r="AH28" s="13">
        <v>60</v>
      </c>
      <c r="AI28" s="13">
        <v>7</v>
      </c>
      <c r="AJ28" s="13" t="s">
        <v>381</v>
      </c>
      <c r="AK28" s="13">
        <v>100</v>
      </c>
      <c r="AL28" s="13"/>
      <c r="AM28" s="166">
        <f t="shared" si="3"/>
        <v>46.977777777777774</v>
      </c>
      <c r="AN28" s="173">
        <f t="shared" si="4"/>
        <v>422.30888888888887</v>
      </c>
      <c r="AO28" s="174">
        <f t="shared" si="5"/>
        <v>359.24711562231755</v>
      </c>
      <c r="AP28" s="174">
        <f t="shared" si="16"/>
        <v>342.13600451120647</v>
      </c>
      <c r="AQ28" s="174">
        <f t="shared" si="17"/>
        <v>327.92222222222222</v>
      </c>
      <c r="AR28" s="738">
        <f t="shared" si="18"/>
        <v>3.6435802469135803</v>
      </c>
      <c r="AS28" s="962">
        <f t="shared" si="6"/>
        <v>60.017079103784774</v>
      </c>
      <c r="AT28" s="174">
        <f t="shared" si="7"/>
        <v>274.4553247721343</v>
      </c>
      <c r="AU28" s="13">
        <v>0.59099999999999997</v>
      </c>
      <c r="AV28" s="172">
        <f t="shared" si="8"/>
        <v>669.07365798133026</v>
      </c>
      <c r="AW28" s="172">
        <f t="shared" si="9"/>
        <v>1229.8373876248841</v>
      </c>
      <c r="AX28" s="174">
        <f t="shared" si="10"/>
        <v>204.03425344193991</v>
      </c>
      <c r="AY28" s="174">
        <f t="shared" si="11"/>
        <v>1.2058424378418648</v>
      </c>
      <c r="AZ28" s="174">
        <f t="shared" si="12"/>
        <v>36.677707484356723</v>
      </c>
      <c r="BA28" s="174">
        <f t="shared" si="13"/>
        <v>40.753008315951917</v>
      </c>
      <c r="BB28" s="174">
        <f t="shared" si="14"/>
        <v>10.720212722644151</v>
      </c>
      <c r="BC28" s="13"/>
      <c r="BD28" s="13"/>
      <c r="BE28" s="13"/>
      <c r="BF28" s="13">
        <v>1400</v>
      </c>
      <c r="BG28" s="13">
        <v>1051.7</v>
      </c>
      <c r="BH28" s="13">
        <v>288.64466506285368</v>
      </c>
      <c r="BI28" s="13"/>
      <c r="BJ28" s="658">
        <v>21.716386208849951</v>
      </c>
      <c r="BK28" s="658">
        <v>8.4427126845844356</v>
      </c>
      <c r="BL28" s="658">
        <v>23.004163007909209</v>
      </c>
      <c r="BM28" s="659">
        <v>4.5857849541608582</v>
      </c>
      <c r="BN28" s="658">
        <v>20.838393579171907</v>
      </c>
      <c r="BO28" s="658">
        <v>0.10606608877928285</v>
      </c>
      <c r="BP28" s="658">
        <v>0.78334760959995142</v>
      </c>
      <c r="BQ28" s="658">
        <v>5.1453117180827341</v>
      </c>
      <c r="BR28" s="658">
        <v>0.39653740310334396</v>
      </c>
      <c r="BS28" s="659">
        <v>135.22837957716465</v>
      </c>
      <c r="BT28" s="659">
        <v>32.027713119951486</v>
      </c>
      <c r="BU28" s="127">
        <v>4.8091804652880352</v>
      </c>
      <c r="BV28" s="127">
        <v>3145.3179352471634</v>
      </c>
      <c r="BW28" s="127">
        <v>1316.5731755503728</v>
      </c>
      <c r="BX28" s="127">
        <v>7790.2585291054211</v>
      </c>
      <c r="BY28" s="127">
        <v>3966.4961307520302</v>
      </c>
      <c r="BZ28" s="363">
        <v>8344.5259729999998</v>
      </c>
      <c r="CA28" s="127">
        <v>8601.9996339119225</v>
      </c>
      <c r="CB28" s="127">
        <v>10687.883477197965</v>
      </c>
      <c r="CC28" s="127">
        <v>5.9691871122599691</v>
      </c>
      <c r="CD28" s="127">
        <v>0.11420341093057607</v>
      </c>
      <c r="CE28" s="127">
        <v>2.5427975480059085E-2</v>
      </c>
      <c r="CF28" s="127">
        <v>143.61776526070901</v>
      </c>
      <c r="CG28" s="411">
        <v>0.79027827627718927</v>
      </c>
      <c r="CH28" s="127">
        <v>1.2116573742008532</v>
      </c>
      <c r="CI28" s="127">
        <v>28.557033798319789</v>
      </c>
      <c r="CJ28" s="127">
        <v>265.74411413102229</v>
      </c>
      <c r="CK28" s="127">
        <v>0.13671375848423875</v>
      </c>
      <c r="CL28" s="127">
        <v>1.0103588450516985</v>
      </c>
      <c r="CM28" s="127">
        <v>17.086400922775212</v>
      </c>
      <c r="CN28" s="397">
        <v>1.167648115</v>
      </c>
      <c r="CO28" s="127">
        <v>128.52225140254069</v>
      </c>
      <c r="CP28" s="127">
        <v>0.17058393945834316</v>
      </c>
      <c r="CQ28" s="127">
        <v>0.20969897762124012</v>
      </c>
      <c r="CR28" s="127">
        <v>3.1281857130744206</v>
      </c>
      <c r="CS28" s="127">
        <v>6.3355570528952088</v>
      </c>
      <c r="CT28" s="127">
        <v>0.7247669048016957</v>
      </c>
      <c r="CU28" s="127">
        <v>8.0064845665191436E-3</v>
      </c>
      <c r="CV28" s="127">
        <v>0.10030430102191483</v>
      </c>
      <c r="CW28" s="127">
        <v>2.511119049645243E-2</v>
      </c>
      <c r="CX28" s="127">
        <v>2.4544563629985228</v>
      </c>
      <c r="CY28" s="451">
        <v>6.2113408050221567E-3</v>
      </c>
      <c r="CZ28" s="127">
        <v>0.41015540542016538</v>
      </c>
      <c r="DA28" s="126">
        <v>0.46880780424667651</v>
      </c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>
        <v>10.851772771792358</v>
      </c>
      <c r="DT28" s="13">
        <v>13.044297230425412</v>
      </c>
      <c r="DU28" s="13">
        <v>19.575123593895537</v>
      </c>
      <c r="DV28" s="13">
        <v>2.9484784147204528</v>
      </c>
      <c r="DW28" s="13">
        <v>32.621384122944789</v>
      </c>
      <c r="DX28" s="13">
        <v>15.092796892341839</v>
      </c>
      <c r="DY28" s="13">
        <v>5.2570351758793965</v>
      </c>
      <c r="DZ28" s="13">
        <v>8.8826508885431164</v>
      </c>
      <c r="EA28" s="13">
        <v>16.137747331722682</v>
      </c>
      <c r="EB28" s="13">
        <v>11.992545260915866</v>
      </c>
      <c r="EC28" s="13">
        <v>5.8644025399268811</v>
      </c>
      <c r="ED28" s="369">
        <v>10.592264416315048</v>
      </c>
      <c r="EE28" s="368">
        <v>10.19415638184614</v>
      </c>
      <c r="EF28" s="368">
        <v>12.316357142857143</v>
      </c>
      <c r="EG28" s="368">
        <v>8.896046986721144</v>
      </c>
      <c r="EH28" s="368">
        <v>8.3103678929765881</v>
      </c>
      <c r="EI28" s="368">
        <v>12.542894337166413</v>
      </c>
      <c r="EJ28" s="11"/>
      <c r="EK28" s="11"/>
      <c r="EL28" s="11"/>
      <c r="EM28" s="11"/>
      <c r="EN28" s="11"/>
      <c r="EO28" s="11"/>
      <c r="EP28" s="11"/>
      <c r="EQ28" s="11"/>
      <c r="ER28" s="11"/>
      <c r="ES28" s="11"/>
    </row>
    <row r="29" spans="1:149" s="14" customFormat="1">
      <c r="A29" s="13" t="s">
        <v>382</v>
      </c>
      <c r="B29" s="48" t="s">
        <v>383</v>
      </c>
      <c r="C29" s="13" t="s">
        <v>199</v>
      </c>
      <c r="D29" s="13"/>
      <c r="E29" s="13"/>
      <c r="F29" s="13"/>
      <c r="G29" s="13" t="s">
        <v>385</v>
      </c>
      <c r="H29" s="13" t="s">
        <v>386</v>
      </c>
      <c r="I29" s="13" t="s">
        <v>40</v>
      </c>
      <c r="J29" s="13" t="s">
        <v>387</v>
      </c>
      <c r="K29" s="13" t="s">
        <v>218</v>
      </c>
      <c r="L29" s="13">
        <v>0</v>
      </c>
      <c r="M29" s="13">
        <v>0</v>
      </c>
      <c r="N29" s="13" t="s">
        <v>79</v>
      </c>
      <c r="O29" s="13" t="s">
        <v>246</v>
      </c>
      <c r="P29" s="13" t="s">
        <v>388</v>
      </c>
      <c r="Q29" s="37" t="s">
        <v>207</v>
      </c>
      <c r="R29" s="37" t="s">
        <v>208</v>
      </c>
      <c r="S29" s="37" t="s">
        <v>209</v>
      </c>
      <c r="T29" s="13" t="s">
        <v>389</v>
      </c>
      <c r="U29" s="13" t="s">
        <v>211</v>
      </c>
      <c r="V29" s="174">
        <v>30.116676330566406</v>
      </c>
      <c r="W29" s="13">
        <v>22.3</v>
      </c>
      <c r="X29" s="166">
        <f t="shared" si="15"/>
        <v>24.239130434782609</v>
      </c>
      <c r="Y29" s="13"/>
      <c r="Z29" s="13">
        <v>13.2</v>
      </c>
      <c r="AA29" s="181">
        <f t="shared" si="0"/>
        <v>14.34782608695652</v>
      </c>
      <c r="AB29" s="181">
        <v>6.7</v>
      </c>
      <c r="AC29" s="181">
        <f t="shared" si="1"/>
        <v>7.2984749455337701</v>
      </c>
      <c r="AD29" s="181">
        <v>8.1999999999999993</v>
      </c>
      <c r="AE29" s="181">
        <f t="shared" si="2"/>
        <v>8.9130434782608692</v>
      </c>
      <c r="AF29" s="13">
        <v>8</v>
      </c>
      <c r="AG29" s="13">
        <v>317.5</v>
      </c>
      <c r="AH29" s="13">
        <v>47</v>
      </c>
      <c r="AI29" s="13">
        <v>10</v>
      </c>
      <c r="AJ29" s="13" t="s">
        <v>212</v>
      </c>
      <c r="AK29" s="13">
        <v>115</v>
      </c>
      <c r="AL29" s="13">
        <v>1500</v>
      </c>
      <c r="AM29" s="166">
        <f t="shared" si="3"/>
        <v>39.660869565217382</v>
      </c>
      <c r="AN29" s="173">
        <f t="shared" si="4"/>
        <v>441.26956521739123</v>
      </c>
      <c r="AO29" s="174">
        <f t="shared" si="5"/>
        <v>359.53471300558869</v>
      </c>
      <c r="AP29" s="174">
        <f t="shared" si="16"/>
        <v>340.87058257080605</v>
      </c>
      <c r="AQ29" s="174">
        <f t="shared" si="17"/>
        <v>329.06304347826085</v>
      </c>
      <c r="AR29" s="738">
        <f t="shared" si="18"/>
        <v>3.5767722117202267</v>
      </c>
      <c r="AS29" s="962">
        <f t="shared" si="6"/>
        <v>84.200710998260561</v>
      </c>
      <c r="AT29" s="174">
        <f t="shared" si="7"/>
        <v>279.58168449286183</v>
      </c>
      <c r="AU29" s="13">
        <v>0.56299999999999994</v>
      </c>
      <c r="AV29" s="172">
        <f t="shared" si="8"/>
        <v>669.07365798133026</v>
      </c>
      <c r="AW29" s="172">
        <f t="shared" si="9"/>
        <v>1229.8373876248841</v>
      </c>
      <c r="AX29" s="174">
        <f t="shared" si="10"/>
        <v>203.32689168284915</v>
      </c>
      <c r="AY29" s="174">
        <f t="shared" si="11"/>
        <v>1.1447304001744407</v>
      </c>
      <c r="AZ29" s="174">
        <f t="shared" si="12"/>
        <v>34.818883005305906</v>
      </c>
      <c r="BA29" s="174">
        <f t="shared" si="13"/>
        <v>37.846611962289025</v>
      </c>
      <c r="BB29" s="174">
        <f t="shared" si="14"/>
        <v>10.214692844042441</v>
      </c>
      <c r="BC29" s="13"/>
      <c r="BD29" s="13"/>
      <c r="BE29" s="13"/>
      <c r="BF29" s="13">
        <v>1800</v>
      </c>
      <c r="BG29" s="13">
        <v>1395.9</v>
      </c>
      <c r="BH29" s="13">
        <v>390.26807338358583</v>
      </c>
      <c r="BI29" s="13"/>
      <c r="BJ29" s="658">
        <v>17.379911726038891</v>
      </c>
      <c r="BK29" s="658">
        <v>8.8526389113295583</v>
      </c>
      <c r="BL29" s="658">
        <v>90.423694492523481</v>
      </c>
      <c r="BM29" s="659">
        <v>6.3169760159694412</v>
      </c>
      <c r="BN29" s="658">
        <v>28.555825880954707</v>
      </c>
      <c r="BO29" s="658">
        <v>0.20163047109931639</v>
      </c>
      <c r="BP29" s="658">
        <v>0.77188501005236521</v>
      </c>
      <c r="BQ29" s="658">
        <v>4.2601242479249679</v>
      </c>
      <c r="BR29" s="658">
        <v>0.27086149448469277</v>
      </c>
      <c r="BS29" s="658">
        <v>366.4948249393961</v>
      </c>
      <c r="BT29" s="659">
        <v>32.658561250838808</v>
      </c>
      <c r="BU29" s="127">
        <v>12.360531814921091</v>
      </c>
      <c r="BV29" s="127">
        <v>2526.8546488595325</v>
      </c>
      <c r="BW29" s="127">
        <v>2820.6914815401897</v>
      </c>
      <c r="BX29" s="127">
        <v>10999.518600617568</v>
      </c>
      <c r="BY29" s="127">
        <v>3172.8233459845128</v>
      </c>
      <c r="BZ29" s="363">
        <v>3514.3942520000001</v>
      </c>
      <c r="CA29" s="127">
        <v>10041.148161111838</v>
      </c>
      <c r="CB29" s="127">
        <v>13083.009566241102</v>
      </c>
      <c r="CC29" s="127">
        <v>3.135628371592539</v>
      </c>
      <c r="CD29" s="127">
        <v>0.55309883737446197</v>
      </c>
      <c r="CE29" s="127">
        <v>5.5316403156384503E-3</v>
      </c>
      <c r="CF29" s="127">
        <v>227.65410657532283</v>
      </c>
      <c r="CG29" s="419">
        <v>1.2178020606633693</v>
      </c>
      <c r="CH29" s="127">
        <v>0.74572955172909572</v>
      </c>
      <c r="CI29" s="127">
        <v>98.218475709137877</v>
      </c>
      <c r="CJ29" s="127">
        <v>402.6480512153725</v>
      </c>
      <c r="CK29" s="127">
        <v>0.33350556102903972</v>
      </c>
      <c r="CL29" s="127">
        <v>3.166086652187948</v>
      </c>
      <c r="CM29" s="127">
        <v>18.474433099702139</v>
      </c>
      <c r="CN29" s="397">
        <v>0.51841229600000005</v>
      </c>
      <c r="CO29" s="127">
        <v>165.78040885418466</v>
      </c>
      <c r="CP29" s="127">
        <v>0.14636722371918029</v>
      </c>
      <c r="CQ29" s="127">
        <v>0.33618857261137758</v>
      </c>
      <c r="CR29" s="127">
        <v>11.667622400930915</v>
      </c>
      <c r="CS29" s="127">
        <v>14.438037418005983</v>
      </c>
      <c r="CT29" s="127">
        <v>1.2026708138149291</v>
      </c>
      <c r="CU29" s="127">
        <v>3.6262871067331255E-3</v>
      </c>
      <c r="CV29" s="127">
        <v>9.7210033057230319E-2</v>
      </c>
      <c r="CW29" s="127">
        <v>4.6779987310619102E-2</v>
      </c>
      <c r="CX29" s="127">
        <v>9.3846961434361553</v>
      </c>
      <c r="CY29" s="451">
        <v>4.1506282998565276E-3</v>
      </c>
      <c r="CZ29" s="127">
        <v>0.16666904847408814</v>
      </c>
      <c r="DA29" s="127">
        <v>0.69240381452654198</v>
      </c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>
        <v>12.018570029382957</v>
      </c>
      <c r="DT29" s="13">
        <v>16.590406257482641</v>
      </c>
      <c r="DU29" s="13">
        <v>23.034677939385254</v>
      </c>
      <c r="DV29" s="13">
        <v>3.6083510261854208</v>
      </c>
      <c r="DW29" s="13">
        <v>48.603053738642913</v>
      </c>
      <c r="DX29" s="13">
        <v>13.441964483906768</v>
      </c>
      <c r="DY29" s="13">
        <v>6.0900827667750503</v>
      </c>
      <c r="DZ29" s="13">
        <v>9.7812259438211449</v>
      </c>
      <c r="EA29" s="13">
        <v>16.952399155937488</v>
      </c>
      <c r="EB29" s="13">
        <v>14.191693290734825</v>
      </c>
      <c r="EC29" s="13">
        <v>4.4915720608043106</v>
      </c>
      <c r="ED29" s="369">
        <v>10.838131877223462</v>
      </c>
      <c r="EE29" s="368">
        <v>14.195950475138991</v>
      </c>
      <c r="EF29" s="368">
        <v>6.5520714285714297</v>
      </c>
      <c r="EG29" s="368">
        <v>8.2760163432073544</v>
      </c>
      <c r="EH29" s="368">
        <v>7.7123745819397991</v>
      </c>
      <c r="EI29" s="368">
        <v>11.54673464959861</v>
      </c>
      <c r="EJ29" s="11"/>
      <c r="EK29" s="11"/>
      <c r="EL29" s="11"/>
      <c r="EM29" s="11"/>
      <c r="EN29" s="11"/>
      <c r="EO29" s="11"/>
      <c r="EP29" s="11"/>
      <c r="EQ29" s="11"/>
      <c r="ER29" s="11"/>
      <c r="ES29" s="11"/>
    </row>
    <row r="30" spans="1:149" s="10" customFormat="1" hidden="1">
      <c r="A30" s="400" t="s">
        <v>390</v>
      </c>
      <c r="B30" s="378" t="s">
        <v>391</v>
      </c>
      <c r="C30" s="400" t="s">
        <v>199</v>
      </c>
      <c r="D30" s="400"/>
      <c r="E30" s="400"/>
      <c r="F30" s="401"/>
      <c r="G30" s="401"/>
      <c r="H30" s="400" t="s">
        <v>40</v>
      </c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J30" s="400"/>
      <c r="AK30" s="400"/>
      <c r="AL30" s="400"/>
      <c r="AM30" s="400"/>
      <c r="AN30" s="400"/>
      <c r="AO30" s="400"/>
      <c r="AP30" s="400"/>
      <c r="AQ30" s="400"/>
      <c r="AR30" s="739"/>
      <c r="AS30" s="962">
        <f t="shared" si="6"/>
        <v>0</v>
      </c>
      <c r="AT30" s="168"/>
      <c r="AU30" s="400"/>
      <c r="AV30" s="400"/>
      <c r="AW30" s="400">
        <f t="shared" si="9"/>
        <v>1229.8373876248841</v>
      </c>
      <c r="AX30" s="400"/>
      <c r="AY30" s="400"/>
      <c r="AZ30" s="400"/>
      <c r="BA30" s="400"/>
      <c r="BB30" s="400"/>
      <c r="BC30" s="400"/>
      <c r="BD30" s="400"/>
      <c r="BE30" s="400"/>
      <c r="BF30" s="400"/>
      <c r="BG30" s="400"/>
      <c r="BH30" s="400"/>
      <c r="BI30" s="400"/>
      <c r="BJ30" s="660"/>
      <c r="BK30" s="660"/>
      <c r="BL30" s="660"/>
      <c r="BM30" s="660"/>
      <c r="BN30" s="660"/>
      <c r="BO30" s="660"/>
      <c r="BP30" s="660"/>
      <c r="BQ30" s="660"/>
      <c r="BR30" s="660"/>
      <c r="BS30" s="660"/>
      <c r="BT30" s="660"/>
      <c r="BU30" s="113">
        <v>2.9737364462592204</v>
      </c>
      <c r="BV30" s="113">
        <v>2168.8023098046856</v>
      </c>
      <c r="BW30" s="113">
        <v>1234.4798367926981</v>
      </c>
      <c r="BX30" s="113">
        <v>16994.15607652377</v>
      </c>
      <c r="BY30" s="113">
        <v>3489.6500217527055</v>
      </c>
      <c r="BZ30" s="402">
        <v>2212.06558</v>
      </c>
      <c r="CA30" s="113">
        <v>4897.890648667526</v>
      </c>
      <c r="CB30" s="113">
        <v>27795.207967454844</v>
      </c>
      <c r="CC30" s="113">
        <v>4.3801332850368819</v>
      </c>
      <c r="CD30" s="113">
        <v>0.14895001525289775</v>
      </c>
      <c r="CE30" s="113" t="e">
        <v>#VALUE!</v>
      </c>
      <c r="CF30" s="113">
        <v>57.693843956269767</v>
      </c>
      <c r="CG30" s="406">
        <v>0.59848181554726676</v>
      </c>
      <c r="CH30" s="113">
        <v>0.48404106793904744</v>
      </c>
      <c r="CI30" s="113">
        <v>51.588293156498978</v>
      </c>
      <c r="CJ30" s="113">
        <v>153.69324757841625</v>
      </c>
      <c r="CK30" s="113">
        <v>8.583251844438046E-2</v>
      </c>
      <c r="CL30" s="113">
        <v>0.52452340190990521</v>
      </c>
      <c r="CM30" s="113">
        <v>14.506552165547719</v>
      </c>
      <c r="CO30" s="113">
        <v>201.41934611526236</v>
      </c>
      <c r="CP30" s="113">
        <v>8.4372415340352197E-2</v>
      </c>
      <c r="CQ30" s="113">
        <v>0.27391975518443995</v>
      </c>
      <c r="CR30" s="113">
        <v>5.7982730427004538</v>
      </c>
      <c r="CS30" s="113">
        <v>20.718675364786343</v>
      </c>
      <c r="CT30" s="113">
        <v>0.39424998983102416</v>
      </c>
      <c r="CU30" s="113">
        <v>1.4718971636628313E-3</v>
      </c>
      <c r="CV30" s="113">
        <v>6.4241368452215675E-2</v>
      </c>
      <c r="CW30" s="113">
        <v>2.6153128436989158E-2</v>
      </c>
      <c r="CX30" s="113">
        <v>11.875588888790832</v>
      </c>
      <c r="CY30" s="379">
        <v>4.1315958508956804E-3</v>
      </c>
      <c r="CZ30" s="113">
        <v>0.19784410423176166</v>
      </c>
      <c r="DA30" s="113">
        <v>0.5099904450869337</v>
      </c>
      <c r="DB30" s="400"/>
      <c r="DC30" s="400"/>
      <c r="DD30" s="400"/>
      <c r="DE30" s="400"/>
      <c r="DF30" s="400"/>
      <c r="DG30" s="400"/>
      <c r="DH30" s="400"/>
      <c r="DI30" s="400"/>
      <c r="DJ30" s="400"/>
      <c r="DK30" s="400"/>
      <c r="DL30" s="400"/>
      <c r="DM30" s="400"/>
      <c r="DN30" s="400"/>
      <c r="DO30" s="400"/>
      <c r="DP30" s="400"/>
      <c r="DQ30" s="400"/>
      <c r="DR30" s="400"/>
      <c r="EE30" s="10" t="s">
        <v>392</v>
      </c>
    </row>
    <row r="31" spans="1:149" s="13" customFormat="1">
      <c r="A31" s="37"/>
      <c r="B31" s="48" t="s">
        <v>393</v>
      </c>
      <c r="C31" s="37" t="s">
        <v>199</v>
      </c>
      <c r="D31" s="37"/>
      <c r="E31" s="37"/>
      <c r="F31" s="57"/>
      <c r="G31" s="57"/>
      <c r="H31" s="37" t="s">
        <v>395</v>
      </c>
      <c r="I31" s="37" t="s">
        <v>40</v>
      </c>
      <c r="J31" s="37" t="s">
        <v>396</v>
      </c>
      <c r="K31" s="37" t="s">
        <v>397</v>
      </c>
      <c r="L31" s="37"/>
      <c r="M31" s="37"/>
      <c r="N31" s="37" t="s">
        <v>79</v>
      </c>
      <c r="O31" s="37" t="s">
        <v>238</v>
      </c>
      <c r="P31" s="37" t="s">
        <v>398</v>
      </c>
      <c r="Q31" s="37" t="s">
        <v>207</v>
      </c>
      <c r="R31" s="37" t="s">
        <v>208</v>
      </c>
      <c r="S31" s="37" t="s">
        <v>209</v>
      </c>
      <c r="T31" s="37" t="s">
        <v>221</v>
      </c>
      <c r="U31" s="37" t="s">
        <v>211</v>
      </c>
      <c r="V31" s="183">
        <v>25.956832885742202</v>
      </c>
      <c r="W31" s="37">
        <v>27.5</v>
      </c>
      <c r="X31" s="166">
        <f t="shared" ref="X31:X35" si="23">W31/((100-AF31)/100)</f>
        <v>29.891304347826086</v>
      </c>
      <c r="Y31" s="37"/>
      <c r="Z31" s="37">
        <v>11.5</v>
      </c>
      <c r="AA31" s="181">
        <f t="shared" ref="AA31:AA33" si="24">Z31/((100-AF31)/100)</f>
        <v>12.5</v>
      </c>
      <c r="AB31" s="181">
        <v>4.5</v>
      </c>
      <c r="AC31" s="181">
        <f t="shared" ref="AC31:AC33" si="25">AB31/(100-AD31)*100</f>
        <v>4.7872340425531918</v>
      </c>
      <c r="AD31" s="181">
        <v>6</v>
      </c>
      <c r="AE31" s="181">
        <f t="shared" ref="AE31:AE33" si="26">AD31/(100-AF31)*100</f>
        <v>6.5217391304347823</v>
      </c>
      <c r="AF31" s="37">
        <v>8</v>
      </c>
      <c r="AG31" s="37"/>
      <c r="AH31" s="37">
        <v>48</v>
      </c>
      <c r="AI31" s="37">
        <v>12</v>
      </c>
      <c r="AJ31" s="37" t="s">
        <v>212</v>
      </c>
      <c r="AK31" s="37">
        <v>48</v>
      </c>
      <c r="AL31" s="37"/>
      <c r="AM31" s="166">
        <f t="shared" ref="AM31:AM35" si="27">100-(AD31+X31+AF31+Z31+AB31)</f>
        <v>40.108695652173914</v>
      </c>
      <c r="AN31" s="173">
        <f t="shared" ref="AN31:AN35" si="28">(W31*5.7)+(Z31*9.4)+((AM31+AB31)*4.1)</f>
        <v>447.74565217391307</v>
      </c>
      <c r="AO31" s="174">
        <f t="shared" ref="AO31:AO35" si="29">(AN31*(87.9-(0.88*AC31)))/100</f>
        <v>374.70595185013883</v>
      </c>
      <c r="AP31" s="174">
        <f t="shared" ref="AP31:AP35" si="30">AO31-(0.77*X31)</f>
        <v>351.68964750231277</v>
      </c>
      <c r="AQ31" s="174">
        <f t="shared" ref="AQ31:AQ35" si="31">(W31*3.5)+(Z31*8.5)+(AM31*3.5)</f>
        <v>334.38043478260869</v>
      </c>
      <c r="AR31" s="738">
        <f t="shared" si="18"/>
        <v>3.6345699432892249</v>
      </c>
      <c r="AS31" s="962">
        <f t="shared" si="6"/>
        <v>71.416517746943413</v>
      </c>
      <c r="AT31" s="174">
        <f>1000/AR31</f>
        <v>275.1357149822839</v>
      </c>
      <c r="AU31" s="37">
        <v>0.59950000000000003</v>
      </c>
      <c r="AV31" s="172">
        <f t="shared" si="19"/>
        <v>669.07365798133026</v>
      </c>
      <c r="AW31" s="172">
        <f t="shared" si="9"/>
        <v>1229.8373876248841</v>
      </c>
      <c r="AX31" s="174">
        <f t="shared" ref="AX31:AX35" si="32">AV31*(100/AQ31)</f>
        <v>200.09354267881022</v>
      </c>
      <c r="AY31" s="174">
        <f t="shared" ref="AY31:AY35" si="33">(AU31/100)*AX31</f>
        <v>1.1995607883594674</v>
      </c>
      <c r="AZ31" s="174">
        <f t="shared" ref="AZ31:AZ35" si="34">(AY31*365)/12</f>
        <v>36.486640645933804</v>
      </c>
      <c r="BA31" s="174">
        <f t="shared" ref="BA31:BA35" si="35">AZ31/((100-AF31)/100)</f>
        <v>39.659392006449785</v>
      </c>
      <c r="BB31" s="174">
        <f t="shared" ref="BB31:BB35" si="36">AZ31/(AP31/100)</f>
        <v>10.374670083427423</v>
      </c>
      <c r="BC31" s="37"/>
      <c r="BD31" s="37"/>
      <c r="BE31" s="37"/>
      <c r="BF31" s="37">
        <v>2000</v>
      </c>
      <c r="BG31" s="37">
        <v>1270.9000000000001</v>
      </c>
      <c r="BH31" s="37">
        <v>349.66998017098467</v>
      </c>
      <c r="BI31" s="37"/>
      <c r="BJ31" s="658">
        <v>14.753336497929638</v>
      </c>
      <c r="BK31" s="659">
        <v>2.3707276574741787</v>
      </c>
      <c r="BL31" s="658">
        <v>12.40691608800363</v>
      </c>
      <c r="BM31" s="659">
        <v>9.8950080185076352</v>
      </c>
      <c r="BN31" s="659">
        <v>9.5344368199300096</v>
      </c>
      <c r="BO31" s="658">
        <v>0.13461100372744544</v>
      </c>
      <c r="BP31" s="658">
        <v>0.57468201703801414</v>
      </c>
      <c r="BQ31" s="658">
        <v>2.5912821837127864</v>
      </c>
      <c r="BR31" s="658">
        <v>9.3365409223473167E-2</v>
      </c>
      <c r="BS31" s="659">
        <v>139.32222402014582</v>
      </c>
      <c r="BT31" s="658">
        <v>34.583248526156083</v>
      </c>
      <c r="BU31" s="127">
        <v>23.210069578067674</v>
      </c>
      <c r="BV31" s="127">
        <v>2166.6873932394205</v>
      </c>
      <c r="BW31" s="127">
        <v>2154.4251167378516</v>
      </c>
      <c r="BX31" s="127">
        <v>6965.5797571362991</v>
      </c>
      <c r="BY31" s="127">
        <v>1856.3491282106543</v>
      </c>
      <c r="BZ31" s="363">
        <v>1082.3396479999999</v>
      </c>
      <c r="CA31" s="127">
        <v>10561.978585501487</v>
      </c>
      <c r="CB31" s="127">
        <v>6644.3302227704335</v>
      </c>
      <c r="CC31" s="127">
        <v>19.802954902160621</v>
      </c>
      <c r="CD31" s="127">
        <v>0.3413334098450877</v>
      </c>
      <c r="CE31" s="127" t="e">
        <v>#VALUE!</v>
      </c>
      <c r="CF31" s="127">
        <v>736.41514357888309</v>
      </c>
      <c r="CG31" s="419">
        <v>4.1736201221397673</v>
      </c>
      <c r="CH31" s="127">
        <v>1.1127854638061245</v>
      </c>
      <c r="CI31" s="127">
        <v>78.222642250846633</v>
      </c>
      <c r="CJ31" s="127">
        <v>1147.32775386193</v>
      </c>
      <c r="CK31" s="127">
        <v>0.85930230763780802</v>
      </c>
      <c r="CL31" s="127">
        <v>3.3974738298919691</v>
      </c>
      <c r="CM31" s="127">
        <v>19.705658996178457</v>
      </c>
      <c r="CN31" s="397">
        <v>0.67932694000000005</v>
      </c>
      <c r="CO31" s="127">
        <v>79.9919296585865</v>
      </c>
      <c r="CP31" s="127">
        <v>0.16799450137368857</v>
      </c>
      <c r="CQ31" s="127">
        <v>0.40808110977614726</v>
      </c>
      <c r="CR31" s="127">
        <v>10.486314579445368</v>
      </c>
      <c r="CS31" s="127">
        <v>12.913587487719287</v>
      </c>
      <c r="CT31" s="127">
        <v>1.2366157602734607</v>
      </c>
      <c r="CU31" s="127">
        <v>2.7038534350603102E-3</v>
      </c>
      <c r="CV31" s="127">
        <v>4.1424959861705295E-2</v>
      </c>
      <c r="CW31" s="127">
        <v>6.5964869592286882E-2</v>
      </c>
      <c r="CX31" s="127">
        <v>7.7604452592437827</v>
      </c>
      <c r="CY31" s="451">
        <v>7.144858306155728E-3</v>
      </c>
      <c r="CZ31" s="127">
        <v>0.31322243571992375</v>
      </c>
      <c r="DA31" s="127">
        <v>0.60393343529351817</v>
      </c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64">
        <v>12.662722652136086</v>
      </c>
      <c r="DT31" s="364">
        <v>17.454222222222221</v>
      </c>
      <c r="DU31" s="364">
        <v>32.423554791244797</v>
      </c>
      <c r="DV31" s="364">
        <v>3.8154729164175536</v>
      </c>
      <c r="DW31" s="364">
        <v>47.701456865191645</v>
      </c>
      <c r="DX31" s="364">
        <v>14.533083184555332</v>
      </c>
      <c r="DY31" s="364">
        <v>6.7983419511986662</v>
      </c>
      <c r="DZ31" s="364">
        <v>11.633604206500955</v>
      </c>
      <c r="EA31" s="364">
        <v>20.106175775688062</v>
      </c>
      <c r="EB31" s="364">
        <v>15.594983457721012</v>
      </c>
      <c r="EC31" s="364">
        <v>4.1344352068502008</v>
      </c>
      <c r="ED31" s="369">
        <v>12.626832292097138</v>
      </c>
      <c r="EE31" s="370">
        <v>13.951504184573627</v>
      </c>
      <c r="EF31" s="370">
        <v>12.597622874957377</v>
      </c>
      <c r="EG31" s="370">
        <v>9.2353828788688883</v>
      </c>
      <c r="EH31" s="370">
        <v>9.7475874751972142</v>
      </c>
      <c r="EI31" s="370">
        <v>13.041621029572836</v>
      </c>
      <c r="EJ31" s="11"/>
      <c r="EK31" s="11"/>
      <c r="EL31" s="11"/>
      <c r="EM31" s="11"/>
      <c r="EN31" s="11"/>
      <c r="EO31" s="11"/>
      <c r="EP31" s="11"/>
      <c r="EQ31" s="11"/>
      <c r="ER31" s="11"/>
      <c r="ES31" s="11"/>
    </row>
    <row r="32" spans="1:149" s="13" customFormat="1" ht="13.9" customHeight="1">
      <c r="A32" s="313" t="s">
        <v>399</v>
      </c>
      <c r="B32" s="48" t="s">
        <v>400</v>
      </c>
      <c r="C32" s="238" t="s">
        <v>199</v>
      </c>
      <c r="D32" s="37"/>
      <c r="E32" s="238"/>
      <c r="F32" s="57"/>
      <c r="G32" s="57"/>
      <c r="H32" s="37" t="s">
        <v>386</v>
      </c>
      <c r="I32" s="37" t="s">
        <v>40</v>
      </c>
      <c r="J32" s="37" t="s">
        <v>217</v>
      </c>
      <c r="K32" s="37" t="s">
        <v>397</v>
      </c>
      <c r="L32" s="37"/>
      <c r="M32" s="37"/>
      <c r="N32" s="37" t="s">
        <v>79</v>
      </c>
      <c r="O32" s="37" t="s">
        <v>402</v>
      </c>
      <c r="P32" s="37" t="s">
        <v>403</v>
      </c>
      <c r="Q32" s="37" t="s">
        <v>207</v>
      </c>
      <c r="R32" s="37" t="s">
        <v>208</v>
      </c>
      <c r="S32" s="37" t="s">
        <v>209</v>
      </c>
      <c r="T32" s="37" t="s">
        <v>221</v>
      </c>
      <c r="U32" s="37" t="s">
        <v>211</v>
      </c>
      <c r="V32" s="183">
        <v>25.907960891723633</v>
      </c>
      <c r="W32" s="37">
        <v>28</v>
      </c>
      <c r="X32" s="166">
        <f t="shared" si="23"/>
        <v>31.111111111111111</v>
      </c>
      <c r="Y32" s="37"/>
      <c r="Z32" s="37">
        <v>10</v>
      </c>
      <c r="AA32" s="181">
        <f t="shared" si="24"/>
        <v>11.111111111111111</v>
      </c>
      <c r="AB32" s="181">
        <v>2.5</v>
      </c>
      <c r="AC32" s="181">
        <f t="shared" si="25"/>
        <v>2.6881720430107525</v>
      </c>
      <c r="AD32" s="181">
        <v>7</v>
      </c>
      <c r="AE32" s="181">
        <f t="shared" si="26"/>
        <v>7.7777777777777777</v>
      </c>
      <c r="AF32" s="37">
        <v>10</v>
      </c>
      <c r="AG32" s="37">
        <v>341</v>
      </c>
      <c r="AH32" s="37">
        <v>120</v>
      </c>
      <c r="AI32" s="37">
        <v>12</v>
      </c>
      <c r="AJ32" s="37" t="s">
        <v>212</v>
      </c>
      <c r="AK32" s="37">
        <v>110</v>
      </c>
      <c r="AL32" s="37">
        <v>1350</v>
      </c>
      <c r="AM32" s="166">
        <f t="shared" si="27"/>
        <v>39.388888888888886</v>
      </c>
      <c r="AN32" s="173">
        <f t="shared" si="28"/>
        <v>425.34444444444443</v>
      </c>
      <c r="AO32" s="174">
        <f t="shared" si="29"/>
        <v>363.81585507765834</v>
      </c>
      <c r="AP32" s="174">
        <f t="shared" si="30"/>
        <v>339.86029952210276</v>
      </c>
      <c r="AQ32" s="174">
        <f t="shared" si="31"/>
        <v>320.86111111111109</v>
      </c>
      <c r="AR32" s="738">
        <f t="shared" si="18"/>
        <v>3.5651234567901233</v>
      </c>
      <c r="AS32" s="962">
        <f t="shared" si="6"/>
        <v>72.670585481070532</v>
      </c>
      <c r="AT32" s="174">
        <f>1000/AR32</f>
        <v>280.495195221193</v>
      </c>
      <c r="AU32" s="37">
        <v>0.69950000000000001</v>
      </c>
      <c r="AV32" s="172">
        <f t="shared" si="19"/>
        <v>669.07365798133026</v>
      </c>
      <c r="AW32" s="172">
        <f t="shared" si="9"/>
        <v>1229.8373876248841</v>
      </c>
      <c r="AX32" s="174">
        <f t="shared" si="32"/>
        <v>208.5243847920344</v>
      </c>
      <c r="AY32" s="174">
        <f t="shared" si="33"/>
        <v>1.4586280716202806</v>
      </c>
      <c r="AZ32" s="174">
        <f t="shared" si="34"/>
        <v>44.366603845116863</v>
      </c>
      <c r="BA32" s="174">
        <f t="shared" si="35"/>
        <v>49.296226494574292</v>
      </c>
      <c r="BB32" s="174">
        <f t="shared" si="36"/>
        <v>13.054364957455553</v>
      </c>
      <c r="BC32" s="37"/>
      <c r="BD32" s="37"/>
      <c r="BE32" s="37"/>
      <c r="BF32" s="37">
        <v>1650</v>
      </c>
      <c r="BG32" s="37">
        <v>2101.6999999999998</v>
      </c>
      <c r="BH32" s="37">
        <v>589.51675179638119</v>
      </c>
      <c r="BI32" s="37"/>
      <c r="BJ32" s="658">
        <v>9.0319706675094285</v>
      </c>
      <c r="BK32" s="659">
        <v>2.5806457621661409</v>
      </c>
      <c r="BL32" s="658">
        <v>4.7454318395981652</v>
      </c>
      <c r="BM32" s="659">
        <v>3.1057367532115636</v>
      </c>
      <c r="BN32" s="659">
        <v>5.8558254017238323</v>
      </c>
      <c r="BO32" s="658">
        <v>0.10118761762166495</v>
      </c>
      <c r="BP32" s="658">
        <v>1.3302594641085779</v>
      </c>
      <c r="BQ32" s="659">
        <v>0.36423476067353266</v>
      </c>
      <c r="BR32" s="658">
        <v>1.613911819323121E-2</v>
      </c>
      <c r="BS32" s="659">
        <v>47.930888726055414</v>
      </c>
      <c r="BT32" s="659">
        <v>0</v>
      </c>
      <c r="BU32" s="127">
        <v>3.2009192668269235</v>
      </c>
      <c r="BV32" s="127">
        <v>4412.3134526383583</v>
      </c>
      <c r="BW32" s="127">
        <v>1467.934236627714</v>
      </c>
      <c r="BX32" s="127">
        <v>9417.7780110780041</v>
      </c>
      <c r="BY32" s="127">
        <v>4071.1887127876298</v>
      </c>
      <c r="BZ32" s="363">
        <v>9161.5503559999997</v>
      </c>
      <c r="CA32" s="127">
        <v>7749.0178777799301</v>
      </c>
      <c r="CB32" s="127">
        <v>3875.449418067622</v>
      </c>
      <c r="CC32" s="127">
        <v>3.2425202884615389</v>
      </c>
      <c r="CD32" s="127">
        <v>0.48815484338942317</v>
      </c>
      <c r="CE32" s="127">
        <v>1.5903982139423078E-2</v>
      </c>
      <c r="CF32" s="127">
        <v>72.721007978004806</v>
      </c>
      <c r="CG32" s="419">
        <v>1.9836626973535236</v>
      </c>
      <c r="CH32" s="127">
        <v>1.9757790070431673</v>
      </c>
      <c r="CI32" s="127">
        <v>26.542670195758582</v>
      </c>
      <c r="CJ32" s="127">
        <v>220.76640633922162</v>
      </c>
      <c r="CK32" s="127">
        <v>7.5672684015746242E-2</v>
      </c>
      <c r="CL32" s="127">
        <v>0.9940202024639424</v>
      </c>
      <c r="CM32" s="127">
        <v>9.2845671786415895</v>
      </c>
      <c r="CN32" s="397">
        <v>0.102530817</v>
      </c>
      <c r="CO32" s="127">
        <v>54.958783033694743</v>
      </c>
      <c r="CP32" s="127">
        <v>0.22106965305119236</v>
      </c>
      <c r="CQ32" s="127">
        <v>0.15081742644128268</v>
      </c>
      <c r="CR32" s="127">
        <v>4.2463823469073132</v>
      </c>
      <c r="CS32" s="127">
        <v>5.3641058695667452</v>
      </c>
      <c r="CT32" s="127">
        <v>0.43534960831488556</v>
      </c>
      <c r="CU32" s="127">
        <v>1.2345119443286584E-3</v>
      </c>
      <c r="CV32" s="127">
        <v>0.14994429411569166</v>
      </c>
      <c r="CW32" s="127">
        <v>2.1318517688823056E-2</v>
      </c>
      <c r="CX32" s="127">
        <v>2.4170349151081734</v>
      </c>
      <c r="CY32" s="451">
        <v>7.331487919471154E-3</v>
      </c>
      <c r="CZ32" s="127">
        <v>2.9975767265660928E-2</v>
      </c>
      <c r="DA32" s="418">
        <v>2.0243743580769236</v>
      </c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13">
        <v>18.703328907001236</v>
      </c>
      <c r="DT32" s="13">
        <v>12.721777777777778</v>
      </c>
      <c r="DU32" s="13">
        <v>24.767331820540736</v>
      </c>
      <c r="DV32" s="13">
        <v>4.2207341862967827</v>
      </c>
      <c r="DW32" s="13">
        <v>49.170131627506457</v>
      </c>
      <c r="DX32" s="13">
        <v>12.89799376645384</v>
      </c>
      <c r="DY32" s="13">
        <v>5.502277680441007</v>
      </c>
      <c r="DZ32" s="13">
        <v>10.016730401529635</v>
      </c>
      <c r="EA32" s="13">
        <v>29.784077858271655</v>
      </c>
      <c r="EB32" s="13">
        <v>9.837347080095407</v>
      </c>
      <c r="EC32" s="13">
        <v>5.3937272863045749</v>
      </c>
      <c r="ED32" s="369">
        <v>13.034348639910542</v>
      </c>
      <c r="EE32" s="368">
        <v>18.554452920976335</v>
      </c>
      <c r="EF32" s="368">
        <v>11.96603828730089</v>
      </c>
      <c r="EG32" s="368">
        <v>7.6693518683538295</v>
      </c>
      <c r="EH32" s="368">
        <v>9.0423268644436927</v>
      </c>
      <c r="EI32" s="368">
        <v>12.078641840087622</v>
      </c>
      <c r="EJ32" s="11"/>
      <c r="EK32" s="11"/>
      <c r="EL32" s="11"/>
      <c r="EM32" s="11"/>
      <c r="EN32" s="11"/>
      <c r="EO32" s="11"/>
      <c r="EP32" s="11"/>
      <c r="EQ32" s="11"/>
      <c r="ER32" s="11"/>
      <c r="ES32" s="11"/>
    </row>
    <row r="33" spans="1:149" s="37" customFormat="1">
      <c r="A33" s="37">
        <v>1</v>
      </c>
      <c r="B33" s="48" t="s">
        <v>404</v>
      </c>
      <c r="C33" s="37" t="s">
        <v>199</v>
      </c>
      <c r="F33" s="57"/>
      <c r="G33" s="57"/>
      <c r="H33" s="37" t="s">
        <v>386</v>
      </c>
      <c r="I33" s="37" t="s">
        <v>40</v>
      </c>
      <c r="J33" s="37" t="s">
        <v>246</v>
      </c>
      <c r="K33" s="37" t="s">
        <v>397</v>
      </c>
      <c r="N33" s="37" t="s">
        <v>79</v>
      </c>
      <c r="O33" s="37" t="s">
        <v>339</v>
      </c>
      <c r="P33" s="37" t="s">
        <v>396</v>
      </c>
      <c r="Q33" s="37" t="s">
        <v>207</v>
      </c>
      <c r="R33" s="37" t="s">
        <v>208</v>
      </c>
      <c r="S33" s="37" t="s">
        <v>209</v>
      </c>
      <c r="T33" s="37" t="s">
        <v>221</v>
      </c>
      <c r="U33" s="37" t="s">
        <v>211</v>
      </c>
      <c r="V33" s="183">
        <v>19.914422988891602</v>
      </c>
      <c r="W33" s="37">
        <v>20</v>
      </c>
      <c r="X33" s="166">
        <f t="shared" si="23"/>
        <v>22.222222222222221</v>
      </c>
      <c r="Z33" s="37">
        <v>8</v>
      </c>
      <c r="AA33" s="181">
        <f t="shared" si="24"/>
        <v>8.8888888888888893</v>
      </c>
      <c r="AB33" s="181">
        <v>4</v>
      </c>
      <c r="AC33" s="181">
        <f t="shared" si="25"/>
        <v>4</v>
      </c>
      <c r="AD33" s="181"/>
      <c r="AE33" s="181">
        <f t="shared" si="26"/>
        <v>0</v>
      </c>
      <c r="AF33" s="37">
        <v>10</v>
      </c>
      <c r="AH33" s="37">
        <v>69.5</v>
      </c>
      <c r="AI33" s="37">
        <v>21</v>
      </c>
      <c r="AJ33" s="37" t="s">
        <v>212</v>
      </c>
      <c r="AK33" s="37">
        <v>289</v>
      </c>
      <c r="AL33" s="37">
        <v>195</v>
      </c>
      <c r="AM33" s="166">
        <f t="shared" si="27"/>
        <v>55.777777777777779</v>
      </c>
      <c r="AN33" s="173">
        <f t="shared" si="28"/>
        <v>434.28888888888889</v>
      </c>
      <c r="AO33" s="174">
        <f t="shared" si="29"/>
        <v>366.45296444444449</v>
      </c>
      <c r="AP33" s="174">
        <f t="shared" si="30"/>
        <v>349.3418533333334</v>
      </c>
      <c r="AQ33" s="174">
        <f t="shared" si="31"/>
        <v>333.22222222222223</v>
      </c>
      <c r="AR33" s="738">
        <f t="shared" si="18"/>
        <v>3.7024691358024691</v>
      </c>
      <c r="AS33" s="962">
        <f t="shared" si="6"/>
        <v>53.786871027016325</v>
      </c>
      <c r="AT33" s="174">
        <f>1000/AR33</f>
        <v>270.09003001000332</v>
      </c>
      <c r="AU33" s="37">
        <v>0.30659999999999998</v>
      </c>
      <c r="AV33" s="172">
        <f t="shared" si="19"/>
        <v>669.07365798133026</v>
      </c>
      <c r="AW33" s="172">
        <f t="shared" si="9"/>
        <v>1229.8373876248841</v>
      </c>
      <c r="AX33" s="174">
        <f t="shared" si="32"/>
        <v>200.78902707008908</v>
      </c>
      <c r="AY33" s="174">
        <f t="shared" si="33"/>
        <v>0.61561915699689307</v>
      </c>
      <c r="AZ33" s="174">
        <f t="shared" si="34"/>
        <v>18.725082691988831</v>
      </c>
      <c r="BA33" s="174">
        <f t="shared" si="35"/>
        <v>20.805647435543147</v>
      </c>
      <c r="BB33" s="174">
        <f t="shared" si="36"/>
        <v>5.3601028658085861</v>
      </c>
      <c r="BF33" s="37">
        <v>1800</v>
      </c>
      <c r="BG33" s="37">
        <v>1223.3</v>
      </c>
      <c r="BH33" s="37">
        <v>330.40113371123704</v>
      </c>
      <c r="BJ33" s="658">
        <v>8.7213260305188971</v>
      </c>
      <c r="BK33" s="659">
        <v>3.7970509731362392</v>
      </c>
      <c r="BL33" s="658">
        <v>2.9274597114999139</v>
      </c>
      <c r="BM33" s="659">
        <v>10.50149430556576</v>
      </c>
      <c r="BN33" s="658">
        <v>18.771257730889413</v>
      </c>
      <c r="BO33" s="658">
        <v>0.12879554266997517</v>
      </c>
      <c r="BP33" s="658">
        <v>0.51258270112492832</v>
      </c>
      <c r="BQ33" s="658">
        <v>2.2225207864367023</v>
      </c>
      <c r="BR33" s="658">
        <v>2.5630523320498502</v>
      </c>
      <c r="BS33" s="659">
        <v>136.70685414732807</v>
      </c>
      <c r="BT33" s="659">
        <v>0</v>
      </c>
      <c r="BU33" s="412">
        <v>12.436079425278685</v>
      </c>
      <c r="BV33" s="412">
        <v>4232.5585064714187</v>
      </c>
      <c r="BW33" s="412">
        <v>1765.5785466067066</v>
      </c>
      <c r="BX33" s="412">
        <v>7518.6294221335756</v>
      </c>
      <c r="BY33" s="412">
        <v>4185.3879285566891</v>
      </c>
      <c r="BZ33" s="363">
        <v>6949.9615919999997</v>
      </c>
      <c r="CA33" s="412">
        <v>6975.6740474667549</v>
      </c>
      <c r="CB33" s="412">
        <v>14701.249836912239</v>
      </c>
      <c r="CC33" s="412">
        <v>6.6948028968311757</v>
      </c>
      <c r="CD33" s="412">
        <v>0.21737391915951348</v>
      </c>
      <c r="CE33" s="412">
        <v>6.4780307849592683E-2</v>
      </c>
      <c r="CF33" s="412">
        <v>134.75966839139534</v>
      </c>
      <c r="CG33" s="420">
        <v>2.4831817521074697</v>
      </c>
      <c r="CH33" s="412">
        <v>7.5169791897552845</v>
      </c>
      <c r="CI33" s="412">
        <v>83.420063370280502</v>
      </c>
      <c r="CJ33" s="412">
        <v>290.8153327954185</v>
      </c>
      <c r="CK33" s="412">
        <v>0.16688599308291044</v>
      </c>
      <c r="CL33" s="412">
        <v>1.0219792286657692</v>
      </c>
      <c r="CM33" s="412">
        <v>24.504505083517529</v>
      </c>
      <c r="CN33" s="397">
        <v>0.38135797399999999</v>
      </c>
      <c r="CO33" s="127">
        <v>153.97185030864401</v>
      </c>
      <c r="CP33" s="412">
        <v>0.15599281313650246</v>
      </c>
      <c r="CQ33" s="412">
        <v>0.27737767293136317</v>
      </c>
      <c r="CR33" s="412">
        <v>3.7770595124241195</v>
      </c>
      <c r="CS33" s="412">
        <v>55.373171357460237</v>
      </c>
      <c r="CT33" s="412">
        <v>0.76164862994088445</v>
      </c>
      <c r="CU33" s="412">
        <v>2.0673790774044663E-3</v>
      </c>
      <c r="CV33" s="412">
        <v>0.21500288013528446</v>
      </c>
      <c r="CW33" s="412">
        <v>2.6057631385824627E-2</v>
      </c>
      <c r="CX33" s="412">
        <v>6.3176506390485434</v>
      </c>
      <c r="CY33" s="452">
        <v>9.1662389995818983E-3</v>
      </c>
      <c r="CZ33" s="412">
        <v>0.23867614614327898</v>
      </c>
      <c r="DA33" s="417">
        <v>2.5631374666457765</v>
      </c>
      <c r="DS33" s="13">
        <v>11.235569394203031</v>
      </c>
      <c r="DT33" s="13">
        <v>10.122666666666667</v>
      </c>
      <c r="DU33" s="13">
        <v>21.018591067739866</v>
      </c>
      <c r="DV33" s="13">
        <v>3.3907449479851728</v>
      </c>
      <c r="DW33" s="13">
        <v>40.6879074916964</v>
      </c>
      <c r="DX33" s="13">
        <v>13.190885708233729</v>
      </c>
      <c r="DY33" s="13">
        <v>4.4439468398786373</v>
      </c>
      <c r="DZ33" s="13">
        <v>7.2861854684512419</v>
      </c>
      <c r="EA33" s="13">
        <v>20.944826399211401</v>
      </c>
      <c r="EB33" s="13">
        <v>8.7946449180580135</v>
      </c>
      <c r="EC33" s="13">
        <v>4.0856573903519688</v>
      </c>
      <c r="ED33" s="369">
        <v>9.7235870384325533</v>
      </c>
      <c r="EE33" s="368">
        <v>13.933671937652939</v>
      </c>
      <c r="EF33" s="368">
        <v>9.18156266744605</v>
      </c>
      <c r="EG33" s="368">
        <v>6.644531574882671</v>
      </c>
      <c r="EH33" s="368">
        <v>6.2979431834680355</v>
      </c>
      <c r="EI33" s="368">
        <v>9.2479737130339519</v>
      </c>
      <c r="EJ33" s="11"/>
      <c r="EK33" s="11"/>
      <c r="EL33" s="11"/>
      <c r="EM33" s="11"/>
      <c r="EN33" s="11"/>
      <c r="EO33" s="11"/>
      <c r="EP33" s="11"/>
      <c r="EQ33" s="11"/>
      <c r="ER33" s="11"/>
      <c r="ES33" s="11"/>
    </row>
    <row r="34" spans="1:149" s="10" customFormat="1">
      <c r="A34" s="37" t="s">
        <v>406</v>
      </c>
      <c r="B34" s="48" t="s">
        <v>407</v>
      </c>
      <c r="C34" s="37" t="s">
        <v>199</v>
      </c>
      <c r="D34" s="37"/>
      <c r="E34" s="37"/>
      <c r="F34" s="57"/>
      <c r="G34" s="57"/>
      <c r="H34" s="37" t="s">
        <v>379</v>
      </c>
      <c r="I34" s="37" t="s">
        <v>40</v>
      </c>
      <c r="J34" s="37" t="s">
        <v>409</v>
      </c>
      <c r="K34" s="37" t="s">
        <v>410</v>
      </c>
      <c r="L34" s="37">
        <v>0</v>
      </c>
      <c r="M34" s="37">
        <v>0</v>
      </c>
      <c r="N34" s="37" t="s">
        <v>79</v>
      </c>
      <c r="O34" s="37" t="s">
        <v>411</v>
      </c>
      <c r="P34" s="37" t="s">
        <v>412</v>
      </c>
      <c r="Q34" s="37" t="s">
        <v>207</v>
      </c>
      <c r="R34" s="37" t="s">
        <v>208</v>
      </c>
      <c r="S34" s="37" t="s">
        <v>209</v>
      </c>
      <c r="T34" s="37" t="s">
        <v>221</v>
      </c>
      <c r="U34" s="37" t="s">
        <v>211</v>
      </c>
      <c r="V34" s="183">
        <v>26.734000000000002</v>
      </c>
      <c r="W34" s="37">
        <v>30</v>
      </c>
      <c r="X34" s="166">
        <f>W34/((100-AF34)/100)</f>
        <v>32.608695652173914</v>
      </c>
      <c r="Y34" s="37">
        <v>6.23</v>
      </c>
      <c r="Z34" s="37">
        <v>9</v>
      </c>
      <c r="AA34" s="181">
        <f>Z34/((100-AF34)/100)</f>
        <v>9.7826086956521738</v>
      </c>
      <c r="AB34" s="181">
        <v>3</v>
      </c>
      <c r="AC34" s="181">
        <f>AB34/(100-AD34)*100</f>
        <v>3.1914893617021276</v>
      </c>
      <c r="AD34" s="181">
        <v>6</v>
      </c>
      <c r="AE34" s="181">
        <f>AD34/(100-AF34)*100</f>
        <v>6.5217391304347823</v>
      </c>
      <c r="AF34" s="37">
        <v>8</v>
      </c>
      <c r="AG34" s="37" t="s">
        <v>373</v>
      </c>
      <c r="AH34" s="37">
        <v>30</v>
      </c>
      <c r="AI34" s="37">
        <v>10</v>
      </c>
      <c r="AJ34" s="37"/>
      <c r="AK34" s="37">
        <v>50</v>
      </c>
      <c r="AL34" s="37">
        <v>1500</v>
      </c>
      <c r="AM34" s="166">
        <f>100-(AD34+X34+AF34+Z34+AB34)</f>
        <v>41.391304347826086</v>
      </c>
      <c r="AN34" s="173">
        <f>(W34*5.7)+(Z34*9.4)+((AM34+AB34)*4.1)</f>
        <v>437.60434782608695</v>
      </c>
      <c r="AO34" s="174">
        <f>(AN34*(87.9-(0.88*AC34)))/100</f>
        <v>372.36405707678074</v>
      </c>
      <c r="AP34" s="174">
        <f>AO34-(0.77*X34)</f>
        <v>347.2553614246068</v>
      </c>
      <c r="AQ34" s="174">
        <f>(W34*3.5)+(Z34*8.5)+(AM34*3.5)</f>
        <v>326.36956521739131</v>
      </c>
      <c r="AR34" s="738">
        <f>AQ34/(100-AF34)</f>
        <v>3.5474952741020793</v>
      </c>
      <c r="AS34" s="962">
        <f>AT34*(V34/100)</f>
        <v>75.360213148604558</v>
      </c>
      <c r="AT34" s="174">
        <f>1000/AR34</f>
        <v>281.88902950775997</v>
      </c>
      <c r="AU34" s="37">
        <v>0.47899999999999998</v>
      </c>
      <c r="AV34" s="172">
        <f>(13.5^0.75)*95</f>
        <v>669.07365798133026</v>
      </c>
      <c r="AW34" s="172">
        <f>110*(25^0.75)</f>
        <v>1229.8373876248841</v>
      </c>
      <c r="AX34" s="174">
        <f>AV34*(100/AQ34)</f>
        <v>205.00491751909141</v>
      </c>
      <c r="AY34" s="174">
        <f>(AU34/100)*AX34</f>
        <v>0.98197355491644789</v>
      </c>
      <c r="AZ34" s="174">
        <f>(AY34*365)/12</f>
        <v>29.868362295375292</v>
      </c>
      <c r="BA34" s="174">
        <f>AZ34/((100-AF34)/100)</f>
        <v>32.465611190625317</v>
      </c>
      <c r="BB34" s="174">
        <f>AZ34/(AP34/100)</f>
        <v>8.6012674283389163</v>
      </c>
      <c r="BC34" s="37"/>
      <c r="BD34" s="37"/>
      <c r="BE34" s="37"/>
      <c r="BF34" s="37">
        <v>1800</v>
      </c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26">
        <v>11.165696113989636</v>
      </c>
      <c r="BV34" s="126">
        <v>3153.3384825435314</v>
      </c>
      <c r="BW34" s="126">
        <v>1347.5059653091762</v>
      </c>
      <c r="BX34" s="126">
        <v>5734.265440355337</v>
      </c>
      <c r="BY34" s="126">
        <v>5492.7478963778321</v>
      </c>
      <c r="BZ34" s="37">
        <v>5529.6434644506398</v>
      </c>
      <c r="CA34" s="126">
        <v>10920.410630804237</v>
      </c>
      <c r="CB34" s="126">
        <v>11993.760934340971</v>
      </c>
      <c r="CC34" s="126">
        <v>8.4166485233160611</v>
      </c>
      <c r="CD34" s="126">
        <v>0.13551221502590671</v>
      </c>
      <c r="CE34" s="126">
        <v>3.911591968911917E-2</v>
      </c>
      <c r="CF34" s="126">
        <v>128.54895738341969</v>
      </c>
      <c r="CG34" s="409">
        <v>1.2470449875353709</v>
      </c>
      <c r="CH34" s="126">
        <v>0.34600253087884558</v>
      </c>
      <c r="CI34" s="126">
        <v>56.137470365077128</v>
      </c>
      <c r="CJ34" s="126">
        <v>216.43080051233127</v>
      </c>
      <c r="CK34" s="126">
        <v>0.14476578969254444</v>
      </c>
      <c r="CL34" s="126">
        <v>1.5962258160621761</v>
      </c>
      <c r="CM34" s="126">
        <v>23.083738211699387</v>
      </c>
      <c r="CN34" s="397">
        <v>0.28212983899999999</v>
      </c>
      <c r="CO34" s="126">
        <v>159.99930350569667</v>
      </c>
      <c r="CP34" s="126">
        <v>9.7454925736230671E-2</v>
      </c>
      <c r="CQ34" s="126">
        <v>0.29416409238975505</v>
      </c>
      <c r="CR34" s="126">
        <v>7.1622570907323801</v>
      </c>
      <c r="CS34" s="126">
        <v>48.694249160327608</v>
      </c>
      <c r="CT34" s="410">
        <v>1.9369530479494896</v>
      </c>
      <c r="CU34" s="126">
        <v>6.31353503973053E-3</v>
      </c>
      <c r="CV34" s="126">
        <v>0.16431573793656107</v>
      </c>
      <c r="CW34" s="126">
        <v>4.6360365762684229E-2</v>
      </c>
      <c r="CX34" s="126">
        <v>5.6493957512953372</v>
      </c>
      <c r="CY34" s="126">
        <v>1.0760665142487046E-2</v>
      </c>
      <c r="CZ34" s="126">
        <v>0.25049666595449527</v>
      </c>
      <c r="DA34" s="126">
        <v>0.73354512901554403</v>
      </c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>
        <v>13.443290891283054</v>
      </c>
      <c r="DT34" s="37">
        <v>18.157107510575464</v>
      </c>
      <c r="DU34" s="37">
        <v>30.232141577702944</v>
      </c>
      <c r="DV34" s="37">
        <v>3.7353503184713381</v>
      </c>
      <c r="DW34" s="37">
        <v>45.969860235789973</v>
      </c>
      <c r="DX34" s="37">
        <v>17.7427524972253</v>
      </c>
      <c r="DY34" s="37">
        <v>6.4534141294708833</v>
      </c>
      <c r="DZ34" s="37">
        <v>11.834706412251249</v>
      </c>
      <c r="EA34" s="37">
        <v>22.234695250619282</v>
      </c>
      <c r="EB34" s="37">
        <v>19.145899893503728</v>
      </c>
      <c r="EC34" s="37">
        <v>5.944063883009429</v>
      </c>
      <c r="ED34" s="374">
        <v>14.618606767601555</v>
      </c>
      <c r="EE34" s="37">
        <v>14.574224202515671</v>
      </c>
      <c r="EF34" s="37">
        <v>6.8594999999999997</v>
      </c>
      <c r="EG34" s="37">
        <v>11.963186925434117</v>
      </c>
      <c r="EH34" s="37">
        <v>10.090969899665552</v>
      </c>
      <c r="EI34" s="37">
        <v>15.556888696029505</v>
      </c>
      <c r="EJ34" s="11"/>
      <c r="EK34" s="11"/>
      <c r="EL34" s="11"/>
      <c r="EM34" s="11"/>
      <c r="EN34" s="11"/>
      <c r="EO34" s="11"/>
      <c r="EP34" s="11"/>
      <c r="EQ34" s="11"/>
      <c r="ER34" s="11"/>
      <c r="ES34" s="11"/>
    </row>
    <row r="35" spans="1:149" s="400" customFormat="1" hidden="1">
      <c r="A35" s="400" t="s">
        <v>413</v>
      </c>
      <c r="B35" s="378" t="s">
        <v>414</v>
      </c>
      <c r="C35" s="400" t="s">
        <v>199</v>
      </c>
      <c r="E35" s="400" t="s">
        <v>415</v>
      </c>
      <c r="F35" s="401" t="s">
        <v>416</v>
      </c>
      <c r="G35" s="401"/>
      <c r="H35" s="400" t="s">
        <v>417</v>
      </c>
      <c r="I35" s="400" t="s">
        <v>40</v>
      </c>
      <c r="J35" s="400" t="s">
        <v>418</v>
      </c>
      <c r="K35" s="400" t="s">
        <v>354</v>
      </c>
      <c r="N35" s="400">
        <v>80</v>
      </c>
      <c r="O35" s="400" t="s">
        <v>290</v>
      </c>
      <c r="P35" s="400" t="s">
        <v>419</v>
      </c>
      <c r="Q35" s="400" t="s">
        <v>207</v>
      </c>
      <c r="R35" s="400" t="s">
        <v>208</v>
      </c>
      <c r="S35" s="400" t="s">
        <v>420</v>
      </c>
      <c r="T35" s="400" t="s">
        <v>221</v>
      </c>
      <c r="U35" s="400" t="s">
        <v>211</v>
      </c>
      <c r="V35" s="400">
        <v>37.329000000000001</v>
      </c>
      <c r="W35" s="400">
        <v>36</v>
      </c>
      <c r="X35" s="164">
        <f t="shared" si="23"/>
        <v>39.130434782608695</v>
      </c>
      <c r="Z35" s="400">
        <v>19</v>
      </c>
      <c r="AB35" s="400">
        <v>2</v>
      </c>
      <c r="AD35" s="400">
        <v>9</v>
      </c>
      <c r="AF35" s="400">
        <v>8</v>
      </c>
      <c r="AG35" s="400">
        <v>402</v>
      </c>
      <c r="AH35" s="400">
        <v>48</v>
      </c>
      <c r="AI35" s="400">
        <v>4</v>
      </c>
      <c r="AJ35" s="400" t="s">
        <v>291</v>
      </c>
      <c r="AK35" s="400">
        <v>48</v>
      </c>
      <c r="AM35" s="164">
        <f t="shared" si="27"/>
        <v>22.869565217391312</v>
      </c>
      <c r="AN35" s="177">
        <f t="shared" si="28"/>
        <v>485.76521739130436</v>
      </c>
      <c r="AO35" s="168">
        <f t="shared" si="29"/>
        <v>426.9876260869566</v>
      </c>
      <c r="AP35" s="168">
        <f t="shared" si="30"/>
        <v>396.85719130434791</v>
      </c>
      <c r="AQ35" s="168">
        <f t="shared" si="31"/>
        <v>367.54347826086962</v>
      </c>
      <c r="AR35" s="739">
        <f t="shared" ref="AR35" si="37">AQ35/(100-AF35)</f>
        <v>3.9950378071833654</v>
      </c>
      <c r="AS35" s="962">
        <f t="shared" si="6"/>
        <v>93.438414857751212</v>
      </c>
      <c r="AT35" s="168">
        <f>1000/AR35</f>
        <v>250.31052226888266</v>
      </c>
      <c r="AU35" s="400">
        <v>0.96199999999999997</v>
      </c>
      <c r="AV35" s="170">
        <f t="shared" si="19"/>
        <v>669.07365798133026</v>
      </c>
      <c r="AW35" s="170">
        <f t="shared" si="9"/>
        <v>1229.8373876248841</v>
      </c>
      <c r="AX35" s="168">
        <f t="shared" si="32"/>
        <v>182.03932257136799</v>
      </c>
      <c r="AY35" s="168">
        <f t="shared" si="33"/>
        <v>1.7512182831365601</v>
      </c>
      <c r="AZ35" s="168">
        <f t="shared" si="34"/>
        <v>53.266222778737038</v>
      </c>
      <c r="BA35" s="168">
        <f t="shared" si="35"/>
        <v>57.898068237757649</v>
      </c>
      <c r="BB35" s="168">
        <f t="shared" si="36"/>
        <v>13.4220127405698</v>
      </c>
      <c r="BF35" s="400">
        <v>1925</v>
      </c>
      <c r="BU35" s="399">
        <v>5.4783149800869406</v>
      </c>
      <c r="BV35" s="399">
        <v>4005.7759710338005</v>
      </c>
      <c r="BW35" s="399">
        <v>1258.9799564358048</v>
      </c>
      <c r="BX35" s="399">
        <v>16103.005039498499</v>
      </c>
      <c r="BY35" s="399">
        <v>5150.4297649389555</v>
      </c>
      <c r="BZ35" s="400">
        <v>5261.5682310000002</v>
      </c>
      <c r="CA35" s="399">
        <v>7966.8074379325008</v>
      </c>
      <c r="CB35" s="399">
        <v>19936.376380436632</v>
      </c>
      <c r="CC35" s="399">
        <v>9.9903708788697969</v>
      </c>
      <c r="CD35" s="399">
        <v>0.19395206672277832</v>
      </c>
      <c r="CE35" s="399">
        <v>2.8419462831484939E-2</v>
      </c>
      <c r="CF35" s="399">
        <v>347.17860715264499</v>
      </c>
      <c r="CG35" s="407">
        <v>0.59823202606496251</v>
      </c>
      <c r="CH35" s="399">
        <v>7.8859943687290324</v>
      </c>
      <c r="CI35" s="399">
        <v>64.323682257633763</v>
      </c>
      <c r="CJ35" s="399">
        <v>475.7656841339097</v>
      </c>
      <c r="CK35" s="399">
        <v>0.18526590938263737</v>
      </c>
      <c r="CL35" s="399">
        <v>1.3332070658741078</v>
      </c>
      <c r="CM35" s="399">
        <v>23.859319660372357</v>
      </c>
      <c r="CN35" s="486"/>
      <c r="CO35" s="113">
        <v>265.77244512033201</v>
      </c>
      <c r="CP35" s="399">
        <v>0.86017386347501412</v>
      </c>
      <c r="CQ35" s="399">
        <v>0.90819426910506706</v>
      </c>
      <c r="CR35" s="399">
        <v>9.3175639381448772</v>
      </c>
      <c r="CS35" s="399">
        <v>68.473284626536525</v>
      </c>
      <c r="CT35" s="399">
        <v>0.41818998745147556</v>
      </c>
      <c r="CU35" s="399">
        <v>4.1508476946337018E-2</v>
      </c>
      <c r="CV35" s="399">
        <v>9.2666047663134105E-2</v>
      </c>
      <c r="CW35" s="399">
        <v>6.2736116598726618E-2</v>
      </c>
      <c r="CX35" s="399">
        <v>10.762792505154204</v>
      </c>
      <c r="CY35" s="399">
        <v>9.6221498296617299E-3</v>
      </c>
      <c r="CZ35" s="399">
        <v>0.4338713597113234</v>
      </c>
      <c r="DA35" s="399">
        <v>6.0449738769633381E-2</v>
      </c>
      <c r="DS35" s="10">
        <v>22.481782566111654</v>
      </c>
      <c r="DT35" s="10">
        <v>21.801197222443928</v>
      </c>
      <c r="DU35" s="10">
        <v>29.708748298344918</v>
      </c>
      <c r="DV35" s="10">
        <v>4.6884996461429589</v>
      </c>
      <c r="DW35" s="10">
        <v>47.46845861746754</v>
      </c>
      <c r="DX35" s="10">
        <v>30.953107658157599</v>
      </c>
      <c r="DY35" s="10">
        <v>6.9997635234998512</v>
      </c>
      <c r="DZ35" s="10">
        <v>14.859593808860865</v>
      </c>
      <c r="EA35" s="10">
        <v>24.130208874889139</v>
      </c>
      <c r="EB35" s="10">
        <v>20.441959531416401</v>
      </c>
      <c r="EC35" s="10">
        <v>7.4051856840484893</v>
      </c>
      <c r="ED35" s="352">
        <v>13.826367171341111</v>
      </c>
      <c r="EE35" s="365">
        <v>23.892153306257637</v>
      </c>
      <c r="EF35" s="365">
        <v>9.6647857142857152</v>
      </c>
      <c r="EG35" s="365">
        <v>14.925097037793668</v>
      </c>
      <c r="EH35" s="365">
        <v>10.789297658862875</v>
      </c>
      <c r="EI35" s="365">
        <v>19.745649815578215</v>
      </c>
    </row>
    <row r="36" spans="1:149" s="61" customFormat="1">
      <c r="A36" s="11"/>
      <c r="B36" s="43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 t="s">
        <v>421</v>
      </c>
      <c r="AG36" s="11"/>
      <c r="AH36" s="11"/>
      <c r="AI36" s="11"/>
      <c r="AJ36" s="11"/>
      <c r="AK36" s="11"/>
      <c r="AL36" s="11"/>
      <c r="AM36" s="11"/>
      <c r="AN36" s="169"/>
      <c r="AO36" s="169"/>
      <c r="AP36" s="169"/>
      <c r="AQ36" s="169"/>
      <c r="AR36" s="742"/>
      <c r="AS36" s="742"/>
      <c r="AT36" s="169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43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</row>
    <row r="37" spans="1:149" s="61" customFormat="1" ht="14.25">
      <c r="B37" s="62"/>
      <c r="F37" s="63"/>
      <c r="G37" s="63"/>
      <c r="AR37" s="248"/>
      <c r="AS37" s="248"/>
      <c r="CN37" s="397"/>
    </row>
    <row r="38" spans="1:149" s="61" customFormat="1" ht="14.25">
      <c r="A38" s="248" t="s">
        <v>422</v>
      </c>
      <c r="B38" s="62"/>
      <c r="F38" s="63"/>
      <c r="G38" s="63"/>
      <c r="AR38" s="248"/>
      <c r="AS38" s="248"/>
      <c r="CN38" s="397"/>
    </row>
    <row r="39" spans="1:149" s="59" customFormat="1" ht="15.75" customHeight="1">
      <c r="A39" s="59" t="s">
        <v>423</v>
      </c>
      <c r="B39" s="246" t="s">
        <v>424</v>
      </c>
      <c r="C39" s="59" t="s">
        <v>199</v>
      </c>
      <c r="E39" s="59" t="s">
        <v>425</v>
      </c>
      <c r="F39" s="247"/>
      <c r="G39" s="247"/>
      <c r="J39" s="59" t="s">
        <v>258</v>
      </c>
      <c r="V39" s="59">
        <v>18.027000000000001</v>
      </c>
      <c r="AR39" s="743"/>
      <c r="AS39" s="743"/>
      <c r="BU39" s="113">
        <v>6.5960000000000001</v>
      </c>
      <c r="BV39" s="113">
        <v>2053.931</v>
      </c>
      <c r="BW39" s="113">
        <v>1370.759</v>
      </c>
      <c r="BX39" s="113">
        <v>12691.612999999999</v>
      </c>
      <c r="BY39" s="113">
        <v>2863.8710000000001</v>
      </c>
      <c r="BZ39" s="399"/>
      <c r="CA39" s="113">
        <v>6703.2979999999998</v>
      </c>
      <c r="CB39" s="113">
        <v>13983.199000000001</v>
      </c>
      <c r="CC39" s="113">
        <v>5.0369999999999999</v>
      </c>
      <c r="CD39" s="113">
        <v>0.104</v>
      </c>
      <c r="CE39" s="113">
        <v>5.7000000000000002E-2</v>
      </c>
      <c r="CF39" s="113">
        <v>211.791</v>
      </c>
      <c r="CG39" s="406">
        <v>10.561</v>
      </c>
      <c r="CH39" s="113">
        <v>12.994</v>
      </c>
      <c r="CI39" s="113">
        <v>55.917999999999999</v>
      </c>
      <c r="CJ39" s="113">
        <v>516.21</v>
      </c>
      <c r="CK39" s="113">
        <v>0.17499999999999999</v>
      </c>
      <c r="CL39" s="379">
        <v>2.41</v>
      </c>
      <c r="CM39" s="113">
        <v>23.149000000000001</v>
      </c>
      <c r="CN39" s="397"/>
      <c r="CO39" s="113">
        <v>116.18</v>
      </c>
      <c r="CP39" s="113">
        <v>0.124</v>
      </c>
      <c r="CQ39" s="113">
        <v>0.28699999999999998</v>
      </c>
      <c r="CR39" s="113">
        <v>6.5259999999999998</v>
      </c>
      <c r="CS39" s="113">
        <v>13.382</v>
      </c>
      <c r="CT39" s="113">
        <v>0.68</v>
      </c>
      <c r="CU39" s="113">
        <v>6.0000000000000001E-3</v>
      </c>
      <c r="CV39" s="113">
        <v>0.105</v>
      </c>
      <c r="CW39" s="113">
        <v>4.1000000000000002E-2</v>
      </c>
      <c r="CX39" s="113">
        <v>5.2830000000000004</v>
      </c>
      <c r="CY39" s="113">
        <v>3.3000000000000002E-2</v>
      </c>
      <c r="CZ39" s="113">
        <v>0.11899999999999999</v>
      </c>
      <c r="DA39" s="120">
        <v>7.7</v>
      </c>
      <c r="EJ39" s="11"/>
      <c r="EK39" s="11"/>
      <c r="EL39" s="11"/>
      <c r="EM39" s="11"/>
      <c r="EN39" s="11"/>
      <c r="EO39" s="11"/>
      <c r="EP39" s="11"/>
      <c r="EQ39" s="11"/>
      <c r="ER39" s="11"/>
      <c r="ES39" s="11"/>
    </row>
    <row r="40" spans="1:149" s="59" customFormat="1" ht="15.75" customHeight="1">
      <c r="A40" s="59" t="s">
        <v>426</v>
      </c>
      <c r="B40" s="246" t="s">
        <v>427</v>
      </c>
      <c r="C40" s="59" t="s">
        <v>199</v>
      </c>
      <c r="E40" s="59" t="s">
        <v>425</v>
      </c>
      <c r="F40" s="247"/>
      <c r="G40" s="247"/>
      <c r="J40" s="59" t="s">
        <v>288</v>
      </c>
      <c r="V40" s="59">
        <v>18.472999999999999</v>
      </c>
      <c r="AR40" s="743"/>
      <c r="AS40" s="743"/>
      <c r="BU40" s="113">
        <v>9.6039999999999992</v>
      </c>
      <c r="BV40" s="113">
        <v>1341.3620000000001</v>
      </c>
      <c r="BW40" s="113">
        <v>1501.981</v>
      </c>
      <c r="BX40" s="113">
        <v>9236.7139999999999</v>
      </c>
      <c r="BY40" s="113">
        <v>3098.8789999999999</v>
      </c>
      <c r="BZ40" s="399"/>
      <c r="CA40" s="113">
        <v>12388.540999999999</v>
      </c>
      <c r="CB40" s="113">
        <v>12755.855</v>
      </c>
      <c r="CC40" s="113">
        <v>6.7880000000000003</v>
      </c>
      <c r="CD40" s="113">
        <v>0.34300000000000003</v>
      </c>
      <c r="CE40" s="113">
        <v>0.1</v>
      </c>
      <c r="CF40" s="113">
        <v>446.99900000000002</v>
      </c>
      <c r="CG40" s="406">
        <v>6.7590000000000003</v>
      </c>
      <c r="CH40" s="113">
        <v>8.4819999999999993</v>
      </c>
      <c r="CI40" s="113">
        <v>52.314</v>
      </c>
      <c r="CJ40" s="113">
        <v>551.47299999999996</v>
      </c>
      <c r="CK40" s="113">
        <v>0.375</v>
      </c>
      <c r="CL40" s="379">
        <v>2.476</v>
      </c>
      <c r="CM40" s="113">
        <v>25.87</v>
      </c>
      <c r="CN40" s="397"/>
      <c r="CO40" s="113">
        <v>101.17</v>
      </c>
      <c r="CP40" s="113">
        <v>0.29399999999999998</v>
      </c>
      <c r="CQ40" s="113">
        <v>0.30299999999999999</v>
      </c>
      <c r="CR40" s="113">
        <v>6.5579999999999998</v>
      </c>
      <c r="CS40" s="113">
        <v>19.452000000000002</v>
      </c>
      <c r="CT40" s="113">
        <v>1.339</v>
      </c>
      <c r="CU40" s="113">
        <v>8.0000000000000002E-3</v>
      </c>
      <c r="CV40" s="113">
        <v>0.109</v>
      </c>
      <c r="CW40" s="113">
        <v>6.8000000000000005E-2</v>
      </c>
      <c r="CX40" s="113">
        <v>9.3279999999999994</v>
      </c>
      <c r="CY40" s="113">
        <v>2.4E-2</v>
      </c>
      <c r="CZ40" s="113">
        <v>0.28100000000000003</v>
      </c>
      <c r="DA40" s="120">
        <v>4.3949999999999996</v>
      </c>
      <c r="EJ40" s="11"/>
      <c r="EK40" s="11"/>
      <c r="EL40" s="11"/>
      <c r="EM40" s="11"/>
      <c r="EN40" s="11"/>
      <c r="EO40" s="11"/>
      <c r="EP40" s="11"/>
      <c r="EQ40" s="11"/>
      <c r="ER40" s="11"/>
      <c r="ES40" s="11"/>
    </row>
    <row r="41" spans="1:149" s="37" customFormat="1">
      <c r="A41" s="37" t="s">
        <v>428</v>
      </c>
      <c r="B41" s="245" t="s">
        <v>429</v>
      </c>
      <c r="C41" s="37" t="s">
        <v>199</v>
      </c>
      <c r="E41" s="37" t="s">
        <v>401</v>
      </c>
      <c r="F41" s="57"/>
      <c r="G41" s="57"/>
      <c r="J41" s="37" t="s">
        <v>217</v>
      </c>
      <c r="V41" s="37">
        <v>25.466000000000001</v>
      </c>
      <c r="AR41" s="744"/>
      <c r="AS41" s="744"/>
      <c r="BU41" s="115">
        <v>4.6100000000000003</v>
      </c>
      <c r="BV41" s="115">
        <v>5128.875</v>
      </c>
      <c r="BW41" s="115">
        <v>1711.52</v>
      </c>
      <c r="BX41" s="115">
        <v>10834.53</v>
      </c>
      <c r="BY41" s="115">
        <v>4548.2830000000004</v>
      </c>
      <c r="BZ41" s="403"/>
      <c r="CA41" s="115">
        <v>9003.1190000000006</v>
      </c>
      <c r="CB41" s="115">
        <v>6817.6059999999998</v>
      </c>
      <c r="CC41" s="115">
        <v>1.8360000000000001</v>
      </c>
      <c r="CD41" s="115">
        <v>0.316</v>
      </c>
      <c r="CE41" s="115">
        <v>2.5999999999999999E-2</v>
      </c>
      <c r="CF41" s="115">
        <v>75.436000000000007</v>
      </c>
      <c r="CG41" s="408">
        <v>3.4209999999999998</v>
      </c>
      <c r="CH41" s="115">
        <v>2.6139999999999999</v>
      </c>
      <c r="CI41" s="115">
        <v>30.236999999999998</v>
      </c>
      <c r="CJ41" s="115">
        <v>223.191</v>
      </c>
      <c r="CK41" s="115">
        <v>0.09</v>
      </c>
      <c r="CL41" s="380">
        <v>1.2350000000000001</v>
      </c>
      <c r="CM41" s="115">
        <v>8.6050000000000004</v>
      </c>
      <c r="CN41" s="43"/>
      <c r="CO41" s="115">
        <v>46.45</v>
      </c>
      <c r="CP41" s="115">
        <v>0.223</v>
      </c>
      <c r="CQ41" s="115">
        <v>0.158</v>
      </c>
      <c r="CR41" s="115">
        <v>4.5339999999999998</v>
      </c>
      <c r="CS41" s="115">
        <v>9.6140000000000008</v>
      </c>
      <c r="CT41" s="115">
        <v>0.66500000000000004</v>
      </c>
      <c r="CU41" s="115">
        <v>5.0000000000000001E-3</v>
      </c>
      <c r="CV41" s="115">
        <v>0.151</v>
      </c>
      <c r="CW41" s="115">
        <v>2.1999999999999999E-2</v>
      </c>
      <c r="CX41" s="115">
        <v>2.173</v>
      </c>
      <c r="CY41" s="115">
        <v>8.9999999999999993E-3</v>
      </c>
      <c r="CZ41" s="115">
        <v>2.5999999999999999E-2</v>
      </c>
      <c r="DA41" s="118">
        <v>2.569</v>
      </c>
      <c r="EJ41" s="11"/>
      <c r="EK41" s="11"/>
      <c r="EL41" s="11"/>
      <c r="EM41" s="11"/>
      <c r="EN41" s="11"/>
      <c r="EO41" s="11"/>
      <c r="EP41" s="11"/>
      <c r="EQ41" s="11"/>
      <c r="ER41" s="11"/>
      <c r="ES41" s="11"/>
    </row>
    <row r="42" spans="1:149" s="37" customFormat="1">
      <c r="A42" s="37" t="s">
        <v>430</v>
      </c>
      <c r="B42" s="245" t="s">
        <v>431</v>
      </c>
      <c r="C42" s="37" t="s">
        <v>199</v>
      </c>
      <c r="E42" s="37" t="s">
        <v>432</v>
      </c>
      <c r="F42" s="57"/>
      <c r="G42" s="57"/>
      <c r="J42" s="37" t="s">
        <v>433</v>
      </c>
      <c r="V42" s="37">
        <v>21.780999999999999</v>
      </c>
      <c r="AR42" s="744"/>
      <c r="AS42" s="744"/>
      <c r="BU42" s="115">
        <v>8.2029999999999994</v>
      </c>
      <c r="BV42" s="115">
        <v>1960.9880000000001</v>
      </c>
      <c r="BW42" s="115">
        <v>1441.32</v>
      </c>
      <c r="BX42" s="115">
        <v>9938.2379999999994</v>
      </c>
      <c r="BY42" s="115">
        <v>4307.9709999999995</v>
      </c>
      <c r="BZ42" s="403"/>
      <c r="CA42" s="115">
        <v>9717.7150000000001</v>
      </c>
      <c r="CB42" s="115">
        <v>12486.02</v>
      </c>
      <c r="CC42" s="115">
        <v>4.4770000000000003</v>
      </c>
      <c r="CD42" s="115">
        <v>8.5999999999999993E-2</v>
      </c>
      <c r="CE42" s="115">
        <v>0</v>
      </c>
      <c r="CF42" s="115">
        <v>156.30000000000001</v>
      </c>
      <c r="CG42" s="408">
        <v>0.72499999999999998</v>
      </c>
      <c r="CH42" s="115">
        <v>0.84099999999999997</v>
      </c>
      <c r="CI42" s="115">
        <v>110.40900000000001</v>
      </c>
      <c r="CJ42" s="115">
        <v>302.95600000000002</v>
      </c>
      <c r="CK42" s="115">
        <v>0.23499999999999999</v>
      </c>
      <c r="CL42" s="380">
        <v>0.80300000000000005</v>
      </c>
      <c r="CM42" s="115">
        <v>18.268000000000001</v>
      </c>
      <c r="CN42" s="43"/>
      <c r="CO42" s="115">
        <v>152.417</v>
      </c>
      <c r="CP42" s="115">
        <v>0.45800000000000002</v>
      </c>
      <c r="CQ42" s="115">
        <v>0.33800000000000002</v>
      </c>
      <c r="CR42" s="115">
        <v>4.649</v>
      </c>
      <c r="CS42" s="115">
        <v>12.981</v>
      </c>
      <c r="CT42" s="115">
        <v>0.79800000000000004</v>
      </c>
      <c r="CU42" s="115">
        <v>5.0000000000000001E-3</v>
      </c>
      <c r="CV42" s="115">
        <v>0.10199999999999999</v>
      </c>
      <c r="CW42" s="115">
        <v>2.1000000000000001E-2</v>
      </c>
      <c r="CX42" s="115">
        <v>12.387</v>
      </c>
      <c r="CY42" s="115">
        <v>5.0000000000000001E-3</v>
      </c>
      <c r="CZ42" s="115">
        <v>0.189</v>
      </c>
      <c r="DA42" s="118">
        <v>0.17499999999999999</v>
      </c>
      <c r="EJ42" s="11"/>
      <c r="EK42" s="11"/>
      <c r="EL42" s="11"/>
      <c r="EM42" s="11"/>
      <c r="EN42" s="11"/>
      <c r="EO42" s="11"/>
      <c r="EP42" s="11"/>
      <c r="EQ42" s="11"/>
      <c r="ER42" s="11"/>
      <c r="ES42" s="11"/>
    </row>
    <row r="43" spans="1:149" s="37" customFormat="1">
      <c r="A43" s="37" t="s">
        <v>434</v>
      </c>
      <c r="B43" s="245" t="s">
        <v>435</v>
      </c>
      <c r="C43" s="37" t="s">
        <v>199</v>
      </c>
      <c r="E43" s="57" t="s">
        <v>436</v>
      </c>
      <c r="F43" s="57"/>
      <c r="G43" s="57"/>
      <c r="AR43" s="744"/>
      <c r="AS43" s="744"/>
      <c r="BU43" s="477"/>
      <c r="BV43" s="477"/>
      <c r="BW43" s="477"/>
      <c r="BX43" s="477"/>
      <c r="BY43" s="477"/>
      <c r="BZ43" s="478"/>
      <c r="CA43" s="477"/>
      <c r="CB43" s="477"/>
      <c r="CC43" s="477"/>
      <c r="CD43" s="477"/>
      <c r="CE43" s="477"/>
      <c r="CF43" s="477"/>
      <c r="CG43" s="477"/>
      <c r="CH43" s="477"/>
      <c r="CI43" s="477"/>
      <c r="CJ43" s="477"/>
      <c r="CK43" s="477"/>
      <c r="CL43" s="479"/>
      <c r="CM43" s="477"/>
      <c r="CN43" s="43"/>
      <c r="CO43" s="477"/>
      <c r="CP43" s="477"/>
      <c r="CQ43" s="477"/>
      <c r="CR43" s="477"/>
      <c r="CS43" s="477"/>
      <c r="CT43" s="477"/>
      <c r="CU43" s="477"/>
      <c r="CV43" s="477"/>
      <c r="CW43" s="477"/>
      <c r="CX43" s="477"/>
      <c r="CY43" s="477"/>
      <c r="CZ43" s="477"/>
      <c r="DA43" s="477"/>
    </row>
    <row r="44" spans="1:149" s="37" customFormat="1">
      <c r="B44" s="245"/>
      <c r="F44" s="57"/>
      <c r="G44" s="57"/>
      <c r="AR44" s="744"/>
      <c r="AS44" s="744"/>
      <c r="BU44" s="115"/>
      <c r="BV44" s="115"/>
      <c r="BW44" s="115"/>
      <c r="BX44" s="115"/>
      <c r="BY44" s="115"/>
      <c r="BZ44" s="403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380"/>
      <c r="CM44" s="115"/>
      <c r="CN44" s="43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8"/>
      <c r="EJ44" s="11"/>
      <c r="EK44" s="11"/>
      <c r="EL44" s="11"/>
      <c r="EM44" s="11"/>
      <c r="EN44" s="11"/>
      <c r="EO44" s="11"/>
      <c r="EP44" s="11"/>
      <c r="EQ44" s="11"/>
      <c r="ER44" s="11"/>
      <c r="ES44" s="11"/>
    </row>
    <row r="45" spans="1:149" s="37" customFormat="1">
      <c r="B45" s="245"/>
      <c r="F45" s="57"/>
      <c r="G45" s="57"/>
      <c r="AR45" s="744"/>
      <c r="AS45" s="744"/>
      <c r="BU45" s="115"/>
      <c r="BV45" s="115"/>
      <c r="BW45" s="115"/>
      <c r="BX45" s="115"/>
      <c r="BY45" s="115"/>
      <c r="BZ45" s="403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380"/>
      <c r="CM45" s="115"/>
      <c r="CN45" s="43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8"/>
      <c r="EJ45" s="11"/>
      <c r="EK45" s="11"/>
      <c r="EL45" s="11"/>
      <c r="EM45" s="11"/>
      <c r="EN45" s="11"/>
      <c r="EO45" s="11"/>
      <c r="EP45" s="11"/>
      <c r="EQ45" s="11"/>
      <c r="ER45" s="11"/>
      <c r="ES45" s="11"/>
    </row>
    <row r="46" spans="1:149" s="37" customFormat="1">
      <c r="B46" s="245"/>
      <c r="F46" s="57"/>
      <c r="G46" s="57"/>
      <c r="AR46" s="744"/>
      <c r="AS46" s="744"/>
      <c r="BU46" s="115"/>
      <c r="BV46" s="115"/>
      <c r="BW46" s="115"/>
      <c r="BX46" s="115"/>
      <c r="BY46" s="115"/>
      <c r="BZ46" s="403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380"/>
      <c r="CM46" s="115"/>
      <c r="CN46" s="43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8"/>
      <c r="EJ46" s="11"/>
      <c r="EK46" s="11"/>
      <c r="EL46" s="11"/>
      <c r="EM46" s="11"/>
      <c r="EN46" s="11"/>
      <c r="EO46" s="11"/>
      <c r="EP46" s="11"/>
      <c r="EQ46" s="11"/>
      <c r="ER46" s="11"/>
      <c r="ES46" s="11"/>
    </row>
    <row r="47" spans="1:149" ht="16.149999999999999" thickBot="1">
      <c r="B47" s="11"/>
      <c r="BF47" s="11" t="s">
        <v>437</v>
      </c>
      <c r="BG47" s="11" t="s">
        <v>438</v>
      </c>
    </row>
    <row r="48" spans="1:149" ht="16.149999999999999" thickBot="1">
      <c r="A48" s="8"/>
      <c r="B48" s="44" t="s">
        <v>439</v>
      </c>
      <c r="C48" s="32"/>
      <c r="E48" s="20" t="s">
        <v>440</v>
      </c>
      <c r="AV48" s="200"/>
      <c r="AW48" s="200"/>
      <c r="AX48" s="200" t="s">
        <v>441</v>
      </c>
      <c r="AY48" s="200"/>
      <c r="BF48" s="11" t="s">
        <v>442</v>
      </c>
      <c r="BG48" s="11">
        <v>552</v>
      </c>
    </row>
    <row r="49" spans="1:59" ht="47.65" thickBot="1">
      <c r="A49" s="33"/>
      <c r="B49" s="44" t="s">
        <v>443</v>
      </c>
      <c r="C49" s="31"/>
      <c r="E49" s="21" t="s">
        <v>258</v>
      </c>
      <c r="H49" s="620">
        <v>278</v>
      </c>
      <c r="J49" s="10" t="s">
        <v>303</v>
      </c>
      <c r="K49" s="424" t="s">
        <v>304</v>
      </c>
      <c r="AV49" s="11" t="s">
        <v>268</v>
      </c>
      <c r="AX49" s="11" t="s">
        <v>2</v>
      </c>
      <c r="AY49" s="11" t="s">
        <v>444</v>
      </c>
      <c r="BF49" s="11" t="s">
        <v>445</v>
      </c>
      <c r="BG49" s="11">
        <v>2270</v>
      </c>
    </row>
    <row r="50" spans="1:59" ht="16.149999999999999" thickBot="1">
      <c r="A50" s="9"/>
      <c r="B50" s="44" t="s">
        <v>446</v>
      </c>
      <c r="C50" s="31"/>
      <c r="E50" s="19" t="s">
        <v>288</v>
      </c>
      <c r="H50" s="620">
        <v>279</v>
      </c>
      <c r="J50" s="14" t="s">
        <v>335</v>
      </c>
      <c r="K50" s="14" t="s">
        <v>336</v>
      </c>
      <c r="AV50" s="169">
        <f>AVERAGE(AY3:AY16,AY17,AY18:AY21)</f>
        <v>0.86795173303997908</v>
      </c>
      <c r="AW50" s="169"/>
      <c r="AX50" s="169">
        <f>AVERAGE(AY22:AY26)</f>
        <v>1.6748294825193544</v>
      </c>
      <c r="AY50" s="169">
        <f>AVERAGE(AY28:AY29,AY31:AY33,AY34)</f>
        <v>1.1010590683182324</v>
      </c>
      <c r="BF50" s="11" t="s">
        <v>447</v>
      </c>
      <c r="BG50" s="11">
        <v>3200</v>
      </c>
    </row>
    <row r="51" spans="1:59" ht="16.149999999999999" thickTop="1">
      <c r="H51" s="630">
        <v>280</v>
      </c>
      <c r="J51" s="14" t="s">
        <v>344</v>
      </c>
      <c r="K51" s="14" t="s">
        <v>345</v>
      </c>
      <c r="AV51" s="200"/>
      <c r="AW51" s="200"/>
      <c r="AX51" s="200" t="s">
        <v>448</v>
      </c>
      <c r="AY51" s="200"/>
    </row>
    <row r="52" spans="1:59">
      <c r="H52" s="630">
        <v>281</v>
      </c>
      <c r="J52" s="14" t="s">
        <v>350</v>
      </c>
      <c r="K52" s="14" t="s">
        <v>351</v>
      </c>
      <c r="AV52" s="11" t="s">
        <v>268</v>
      </c>
      <c r="AX52" s="11" t="s">
        <v>83</v>
      </c>
      <c r="AY52" s="11" t="s">
        <v>444</v>
      </c>
    </row>
    <row r="53" spans="1:59">
      <c r="A53" s="963" t="s">
        <v>449</v>
      </c>
      <c r="B53" s="963"/>
      <c r="H53" s="630">
        <v>282</v>
      </c>
      <c r="J53" s="358" t="s">
        <v>357</v>
      </c>
      <c r="K53" s="360" t="s">
        <v>358</v>
      </c>
      <c r="AU53" s="11" t="s">
        <v>442</v>
      </c>
      <c r="AV53" s="169">
        <f>MIN(AY3:AY16,AY17,AY18:AY21)</f>
        <v>0.35293270834308055</v>
      </c>
      <c r="AW53" s="169"/>
      <c r="AX53" s="169">
        <f>MIN(AY22:AY26)</f>
        <v>1.1975104901996831</v>
      </c>
      <c r="AY53" s="169">
        <f>MIN(AY34,AY28:AY29,AY31:AY33)</f>
        <v>0.61561915699689307</v>
      </c>
    </row>
    <row r="54" spans="1:59">
      <c r="A54" s="41" t="s">
        <v>450</v>
      </c>
      <c r="B54" s="45"/>
      <c r="C54" s="41"/>
      <c r="H54" s="630">
        <v>283</v>
      </c>
      <c r="J54" s="14" t="s">
        <v>364</v>
      </c>
      <c r="K54" s="16" t="s">
        <v>365</v>
      </c>
      <c r="AU54" s="11" t="s">
        <v>451</v>
      </c>
      <c r="AV54" s="169">
        <f>MAX(AY3:AY16,AY17,AY18:AY21)</f>
        <v>1.5944235186750852</v>
      </c>
      <c r="AW54" s="169"/>
      <c r="AX54" s="169">
        <f>MAX(AY22:AY26)</f>
        <v>2.0719965834463419</v>
      </c>
      <c r="AY54" s="169">
        <f>MAX(AY34,AY28:AY29,AY31:AY32,AY33)</f>
        <v>1.4586280716202806</v>
      </c>
    </row>
    <row r="55" spans="1:59">
      <c r="A55" s="42" t="s">
        <v>452</v>
      </c>
      <c r="B55" s="45" t="s">
        <v>453</v>
      </c>
      <c r="C55" s="42" t="s">
        <v>454</v>
      </c>
      <c r="H55" s="631">
        <v>302</v>
      </c>
    </row>
    <row r="56" spans="1:59">
      <c r="A56" s="42" t="s">
        <v>455</v>
      </c>
      <c r="B56" s="45" t="s">
        <v>455</v>
      </c>
      <c r="C56" s="42" t="s">
        <v>455</v>
      </c>
      <c r="H56" s="631">
        <v>306</v>
      </c>
    </row>
    <row r="57" spans="1:59" ht="16.149999999999999" thickBot="1">
      <c r="A57" s="42"/>
      <c r="B57" s="45"/>
      <c r="C57" s="42"/>
      <c r="H57" s="631">
        <v>307</v>
      </c>
    </row>
    <row r="58" spans="1:59" ht="16.149999999999999" thickBot="1">
      <c r="A58" s="42">
        <v>681.1</v>
      </c>
      <c r="B58" s="45">
        <v>28</v>
      </c>
      <c r="C58" s="42">
        <v>227</v>
      </c>
      <c r="H58" s="620">
        <v>275</v>
      </c>
      <c r="J58" s="10" t="s">
        <v>285</v>
      </c>
      <c r="K58" s="427" t="s">
        <v>286</v>
      </c>
    </row>
  </sheetData>
  <autoFilter ref="A1:DR33" xr:uid="{424DEC02-7D9C-B946-B21D-807F374135A6}"/>
  <sortState xmlns:xlrd2="http://schemas.microsoft.com/office/spreadsheetml/2017/richdata2" ref="A3:EI36">
    <sortCondition ref="B3:B36"/>
  </sortState>
  <mergeCells count="1">
    <mergeCell ref="A53:B53"/>
  </mergeCells>
  <conditionalFormatting sqref="AH3:AH20 AH22:AH35">
    <cfRule type="cellIs" dxfId="3" priority="1" operator="greaterThan">
      <formula>$A$58</formula>
    </cfRule>
  </conditionalFormatting>
  <conditionalFormatting sqref="AI3:AI20 AI22:AI35">
    <cfRule type="cellIs" dxfId="2" priority="2" operator="greaterThan">
      <formula>$B$58</formula>
    </cfRule>
  </conditionalFormatting>
  <conditionalFormatting sqref="AK3:AK20 AK22:AK38">
    <cfRule type="cellIs" dxfId="1" priority="3" operator="greaterThan">
      <formula>$C$58</formula>
    </cfRule>
  </conditionalFormatting>
  <hyperlinks>
    <hyperlink ref="G22" r:id="rId1" xr:uid="{AE0D1EA8-8504-6248-B8D7-5FC5364F863C}"/>
    <hyperlink ref="G24" r:id="rId2" xr:uid="{1E64FF30-2A35-0547-93A1-1E7670A92B41}"/>
    <hyperlink ref="G3" r:id="rId3" xr:uid="{116506BF-73EA-164A-997F-85F2A33159BD}"/>
    <hyperlink ref="G5" r:id="rId4" xr:uid="{C818B498-F470-B447-B4F4-1AC425935C07}"/>
    <hyperlink ref="G9" r:id="rId5" xr:uid="{43CF4F36-06D8-A746-B781-3BF80D06843F}"/>
    <hyperlink ref="G8" r:id="rId6" xr:uid="{D8BD1E55-1C99-5B46-9E3B-EB60B3095163}"/>
    <hyperlink ref="G15" r:id="rId7" xr:uid="{8521E24D-22C1-0140-981A-8F5CB7F33EAB}"/>
    <hyperlink ref="G6" r:id="rId8" xr:uid="{91305327-260C-7D4A-A495-07BF63DD1D9D}"/>
    <hyperlink ref="G4" r:id="rId9" xr:uid="{CEC46549-2282-40DC-9B85-29BEEFE0BC2E}"/>
  </hyperlinks>
  <pageMargins left="0.7" right="0.7" top="0.75" bottom="0.75" header="0.3" footer="0.3"/>
  <pageSetup paperSize="9" orientation="portrait" r:id="rId10"/>
  <legacy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70BA-1FA3-B34C-89E2-D79EE94E6ECF}">
  <sheetPr>
    <tabColor rgb="FFFFC000"/>
  </sheetPr>
  <dimension ref="A1:CL59"/>
  <sheetViews>
    <sheetView zoomScale="84" workbookViewId="0">
      <selection activeCell="K58" sqref="K58"/>
    </sheetView>
  </sheetViews>
  <sheetFormatPr defaultColWidth="11" defaultRowHeight="15.75" customHeight="1"/>
  <cols>
    <col min="1" max="1" width="9.25" style="11" bestFit="1" customWidth="1"/>
    <col min="2" max="2" width="9.25" style="11" customWidth="1"/>
    <col min="3" max="3" width="16.5" style="11" bestFit="1" customWidth="1"/>
    <col min="4" max="8" width="13.75" style="11" bestFit="1" customWidth="1"/>
    <col min="9" max="9" width="13.75" style="11" customWidth="1"/>
    <col min="10" max="11" width="13.75" style="11" bestFit="1" customWidth="1"/>
    <col min="12" max="12" width="12.25" style="11" bestFit="1" customWidth="1"/>
    <col min="13" max="16" width="13.75" style="11" bestFit="1" customWidth="1"/>
    <col min="17" max="19" width="11" style="11"/>
    <col min="20" max="20" width="12" style="11" bestFit="1" customWidth="1"/>
    <col min="21" max="26" width="11" style="11"/>
    <col min="27" max="27" width="9.25" style="511" bestFit="1" customWidth="1"/>
    <col min="28" max="40" width="4.25" style="11" customWidth="1"/>
    <col min="41" max="41" width="22" style="11" bestFit="1" customWidth="1"/>
    <col min="42" max="43" width="11" style="11"/>
    <col min="44" max="44" width="2.75" style="11" bestFit="1" customWidth="1"/>
    <col min="45" max="45" width="2" style="11" bestFit="1" customWidth="1"/>
    <col min="46" max="46" width="4.25" style="11" bestFit="1" customWidth="1"/>
    <col min="47" max="47" width="2.75" style="11" customWidth="1"/>
    <col min="48" max="48" width="3.25" style="11" bestFit="1" customWidth="1"/>
    <col min="49" max="49" width="2.5" style="11" bestFit="1" customWidth="1"/>
    <col min="50" max="50" width="3.5" style="11" bestFit="1" customWidth="1"/>
    <col min="51" max="51" width="3" style="11" bestFit="1" customWidth="1"/>
    <col min="52" max="52" width="2.5" style="11" customWidth="1"/>
    <col min="53" max="53" width="2.75" style="11" bestFit="1" customWidth="1"/>
    <col min="54" max="54" width="3.75" style="11" bestFit="1" customWidth="1"/>
    <col min="55" max="56" width="2.75" style="11" bestFit="1" customWidth="1"/>
    <col min="57" max="16384" width="11" style="11"/>
  </cols>
  <sheetData>
    <row r="1" spans="1:90" s="377" customFormat="1" ht="25.9" customHeight="1">
      <c r="A1" s="376" t="s">
        <v>0</v>
      </c>
      <c r="B1" s="376"/>
      <c r="C1" s="376" t="s">
        <v>3</v>
      </c>
      <c r="D1" s="375" t="s">
        <v>474</v>
      </c>
      <c r="E1" s="375" t="s">
        <v>475</v>
      </c>
      <c r="F1" s="375" t="s">
        <v>459</v>
      </c>
      <c r="G1" s="375" t="s">
        <v>476</v>
      </c>
      <c r="H1" s="375" t="s">
        <v>477</v>
      </c>
      <c r="I1" s="375" t="s">
        <v>478</v>
      </c>
      <c r="J1" s="375" t="s">
        <v>479</v>
      </c>
      <c r="K1" s="375" t="s">
        <v>480</v>
      </c>
      <c r="L1" s="375" t="s">
        <v>456</v>
      </c>
      <c r="M1" s="375" t="s">
        <v>481</v>
      </c>
      <c r="N1" s="375" t="s">
        <v>482</v>
      </c>
      <c r="O1" s="589" t="s">
        <v>483</v>
      </c>
      <c r="P1" s="375" t="s">
        <v>484</v>
      </c>
      <c r="Q1" s="377" t="s">
        <v>485</v>
      </c>
      <c r="R1" s="377" t="s">
        <v>486</v>
      </c>
      <c r="S1" s="377" t="s">
        <v>487</v>
      </c>
      <c r="AA1" s="520" t="s">
        <v>0</v>
      </c>
      <c r="AB1" s="529" t="s">
        <v>488</v>
      </c>
      <c r="AC1" s="530" t="s">
        <v>489</v>
      </c>
      <c r="AD1" s="530" t="s">
        <v>490</v>
      </c>
      <c r="AE1" s="530" t="s">
        <v>491</v>
      </c>
      <c r="AF1" s="530" t="s">
        <v>492</v>
      </c>
      <c r="AG1" s="530" t="s">
        <v>493</v>
      </c>
      <c r="AH1" s="530" t="s">
        <v>494</v>
      </c>
      <c r="AI1" s="530" t="s">
        <v>495</v>
      </c>
      <c r="AJ1" s="530" t="s">
        <v>496</v>
      </c>
      <c r="AK1" s="530" t="s">
        <v>497</v>
      </c>
      <c r="AL1" s="530" t="s">
        <v>498</v>
      </c>
      <c r="AM1" s="530" t="s">
        <v>499</v>
      </c>
      <c r="AN1" s="531" t="s">
        <v>500</v>
      </c>
      <c r="AQ1" s="735" t="s">
        <v>0</v>
      </c>
      <c r="AR1" s="529" t="s">
        <v>488</v>
      </c>
      <c r="AS1" s="530" t="s">
        <v>489</v>
      </c>
      <c r="AT1" s="530" t="s">
        <v>490</v>
      </c>
      <c r="AU1" s="530" t="s">
        <v>491</v>
      </c>
      <c r="AV1" s="530" t="s">
        <v>492</v>
      </c>
      <c r="AW1" s="530" t="s">
        <v>493</v>
      </c>
      <c r="AX1" s="530" t="s">
        <v>494</v>
      </c>
      <c r="AY1" s="530" t="s">
        <v>495</v>
      </c>
      <c r="AZ1" s="530" t="s">
        <v>496</v>
      </c>
      <c r="BA1" s="530" t="s">
        <v>497</v>
      </c>
      <c r="BB1" s="530" t="s">
        <v>498</v>
      </c>
      <c r="BC1" s="530" t="s">
        <v>499</v>
      </c>
      <c r="BD1" s="531" t="s">
        <v>500</v>
      </c>
    </row>
    <row r="2" spans="1:90" s="13" customFormat="1">
      <c r="A2" s="119" t="s">
        <v>407</v>
      </c>
      <c r="B2" s="336">
        <v>259</v>
      </c>
      <c r="C2" s="118" t="s">
        <v>470</v>
      </c>
      <c r="D2" s="385">
        <v>1.1993760934340973</v>
      </c>
      <c r="E2" s="385">
        <v>0.57342654403553373</v>
      </c>
      <c r="F2" s="386">
        <v>2.0915950018521903</v>
      </c>
      <c r="G2" s="385">
        <v>1.0920410630804238</v>
      </c>
      <c r="H2" s="385">
        <v>0.31533384825435318</v>
      </c>
      <c r="I2" s="334">
        <v>0.55296434644506398</v>
      </c>
      <c r="J2" s="385">
        <v>0.13475059653091762</v>
      </c>
      <c r="K2" s="385">
        <v>2.3083738211699387</v>
      </c>
      <c r="L2" s="335">
        <v>2.8212984E-2</v>
      </c>
      <c r="M2" s="385">
        <v>21.643080051233127</v>
      </c>
      <c r="N2" s="385">
        <v>5.6137470365077125</v>
      </c>
      <c r="O2" s="385">
        <v>29.416409238975504</v>
      </c>
      <c r="P2" s="385">
        <v>15.999930350569668</v>
      </c>
      <c r="Q2" s="11" t="s">
        <v>199</v>
      </c>
      <c r="R2" s="11">
        <v>1</v>
      </c>
      <c r="S2" s="11">
        <v>1</v>
      </c>
      <c r="T2" s="11"/>
      <c r="U2" s="11"/>
      <c r="V2" s="11"/>
      <c r="W2" s="11"/>
      <c r="X2" s="11"/>
      <c r="Y2" s="11"/>
      <c r="Z2" s="11"/>
      <c r="AA2" s="513">
        <v>259</v>
      </c>
      <c r="AB2" s="385"/>
      <c r="AC2" s="385"/>
      <c r="AD2" s="386"/>
      <c r="AE2" s="385"/>
      <c r="AF2" s="385"/>
      <c r="AG2" s="334"/>
      <c r="AH2" s="385"/>
      <c r="AI2" s="385"/>
      <c r="AJ2" s="335"/>
      <c r="AK2" s="385"/>
      <c r="AL2" s="385"/>
      <c r="AM2" s="385"/>
      <c r="AN2" s="521"/>
      <c r="AO2" s="11"/>
      <c r="AP2" s="11"/>
      <c r="AQ2" s="514">
        <v>265</v>
      </c>
      <c r="AR2" s="385"/>
      <c r="AS2" s="385"/>
      <c r="AT2" s="385"/>
      <c r="AU2" s="385"/>
      <c r="AV2" s="385"/>
      <c r="AW2" s="334"/>
      <c r="AX2" s="385"/>
      <c r="AY2" s="385"/>
      <c r="AZ2" s="335"/>
      <c r="BA2" s="385"/>
      <c r="BB2" s="385"/>
      <c r="BC2" s="385"/>
      <c r="BD2" s="52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</row>
    <row r="3" spans="1:90" s="10" customFormat="1">
      <c r="A3" s="114" t="s">
        <v>198</v>
      </c>
      <c r="B3" s="467">
        <v>265</v>
      </c>
      <c r="C3" s="113" t="s">
        <v>200</v>
      </c>
      <c r="D3" s="385">
        <v>1.5991793621706734</v>
      </c>
      <c r="E3" s="385">
        <v>0.96371678260973681</v>
      </c>
      <c r="F3" s="385">
        <v>1.6593872712687534</v>
      </c>
      <c r="G3" s="385">
        <v>0.95289506835595505</v>
      </c>
      <c r="H3" s="385">
        <v>0.63337033758231087</v>
      </c>
      <c r="I3" s="334">
        <v>0.55296431123668555</v>
      </c>
      <c r="J3" s="385">
        <v>0.1163430270443155</v>
      </c>
      <c r="K3" s="385">
        <v>1.2756876091043057</v>
      </c>
      <c r="L3" s="335">
        <v>9.2035277999999998E-2</v>
      </c>
      <c r="M3" s="385">
        <v>44.052811388468797</v>
      </c>
      <c r="N3" s="385">
        <v>5.1939483484368969</v>
      </c>
      <c r="O3" s="385">
        <v>46.018059829965331</v>
      </c>
      <c r="P3" s="385">
        <v>16.034863203963624</v>
      </c>
      <c r="Q3" s="11" t="s">
        <v>199</v>
      </c>
      <c r="R3" s="11">
        <v>1</v>
      </c>
      <c r="S3" s="11"/>
      <c r="T3" s="11"/>
      <c r="U3" s="11"/>
      <c r="V3" s="11"/>
      <c r="W3" s="11"/>
      <c r="X3" s="11"/>
      <c r="Y3" s="11"/>
      <c r="Z3" s="11"/>
      <c r="AA3" s="514">
        <v>265</v>
      </c>
      <c r="AB3" s="385"/>
      <c r="AC3" s="385"/>
      <c r="AD3" s="385"/>
      <c r="AE3" s="385"/>
      <c r="AF3" s="385"/>
      <c r="AG3" s="334"/>
      <c r="AH3" s="385"/>
      <c r="AI3" s="385"/>
      <c r="AJ3" s="335"/>
      <c r="AK3" s="385"/>
      <c r="AL3" s="385"/>
      <c r="AM3" s="385"/>
      <c r="AN3" s="521"/>
      <c r="AO3" s="11"/>
      <c r="AP3" s="11"/>
      <c r="AQ3" s="514">
        <v>266</v>
      </c>
      <c r="AR3" s="385"/>
      <c r="AS3" s="385"/>
      <c r="AT3" s="385"/>
      <c r="AU3" s="387"/>
      <c r="AV3" s="385"/>
      <c r="AW3" s="334"/>
      <c r="AX3" s="385"/>
      <c r="AY3" s="385"/>
      <c r="AZ3" s="335"/>
      <c r="BA3" s="385"/>
      <c r="BB3" s="385"/>
      <c r="BC3" s="385"/>
      <c r="BD3" s="52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</row>
    <row r="4" spans="1:90" s="10" customFormat="1">
      <c r="A4" s="114" t="s">
        <v>213</v>
      </c>
      <c r="B4" s="467">
        <v>266</v>
      </c>
      <c r="C4" s="113" t="s">
        <v>214</v>
      </c>
      <c r="D4" s="385">
        <v>1.2959842658709442</v>
      </c>
      <c r="E4" s="385">
        <v>0.88488032787802196</v>
      </c>
      <c r="F4" s="385">
        <v>1.4645870464526718</v>
      </c>
      <c r="G4" s="387">
        <v>0.44129241433109656</v>
      </c>
      <c r="H4" s="385">
        <v>0.33455752152059903</v>
      </c>
      <c r="I4" s="334">
        <v>1.3980712345569306</v>
      </c>
      <c r="J4" s="385">
        <v>0.12395226145068297</v>
      </c>
      <c r="K4" s="385">
        <v>0.9657000008499208</v>
      </c>
      <c r="L4" s="335">
        <v>8.1192250999999993E-2</v>
      </c>
      <c r="M4" s="385">
        <v>30.064475030064365</v>
      </c>
      <c r="N4" s="385">
        <v>4.302399224153385</v>
      </c>
      <c r="O4" s="385">
        <v>25.879983140082903</v>
      </c>
      <c r="P4" s="385">
        <v>16.238714684077465</v>
      </c>
      <c r="Q4" s="11" t="s">
        <v>199</v>
      </c>
      <c r="R4" s="11">
        <v>2</v>
      </c>
      <c r="S4" s="11"/>
      <c r="T4" s="11"/>
      <c r="U4" s="11"/>
      <c r="V4" s="11"/>
      <c r="W4" s="11"/>
      <c r="X4" s="11"/>
      <c r="Y4" s="11"/>
      <c r="Z4" s="11"/>
      <c r="AA4" s="514">
        <v>266</v>
      </c>
      <c r="AB4" s="385"/>
      <c r="AC4" s="385"/>
      <c r="AD4" s="385"/>
      <c r="AE4" s="387"/>
      <c r="AF4" s="385"/>
      <c r="AG4" s="334"/>
      <c r="AH4" s="385"/>
      <c r="AI4" s="385"/>
      <c r="AJ4" s="335"/>
      <c r="AK4" s="385"/>
      <c r="AL4" s="385"/>
      <c r="AM4" s="385"/>
      <c r="AN4" s="521"/>
      <c r="AO4" s="11"/>
      <c r="AP4" s="11"/>
      <c r="AQ4" s="514">
        <v>267</v>
      </c>
      <c r="AR4" s="385"/>
      <c r="AS4" s="385"/>
      <c r="AT4" s="385"/>
      <c r="AU4" s="385"/>
      <c r="AV4" s="385"/>
      <c r="AW4" s="334"/>
      <c r="AX4" s="385"/>
      <c r="AY4" s="385"/>
      <c r="AZ4" s="115"/>
      <c r="BA4" s="385"/>
      <c r="BB4" s="385"/>
      <c r="BC4" s="385"/>
      <c r="BD4" s="52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</row>
    <row r="5" spans="1:90" s="10" customFormat="1">
      <c r="A5" s="114" t="s">
        <v>223</v>
      </c>
      <c r="B5" s="467">
        <v>267</v>
      </c>
      <c r="C5" s="113" t="s">
        <v>224</v>
      </c>
      <c r="D5" s="385">
        <v>1.3873999073791665</v>
      </c>
      <c r="E5" s="385">
        <v>0.99013355527395108</v>
      </c>
      <c r="F5" s="385">
        <v>1.4012250165537512</v>
      </c>
      <c r="G5" s="385">
        <v>0.67253661730660763</v>
      </c>
      <c r="H5" s="385">
        <v>0.33902274178025488</v>
      </c>
      <c r="I5" s="334">
        <v>0.52731709817316952</v>
      </c>
      <c r="J5" s="385">
        <v>0.10031633934335683</v>
      </c>
      <c r="K5" s="385">
        <v>1.6282124347771021</v>
      </c>
      <c r="L5" s="115">
        <v>0.109731326</v>
      </c>
      <c r="M5" s="385">
        <v>20.903435220341024</v>
      </c>
      <c r="N5" s="385">
        <v>3.0074222781624678</v>
      </c>
      <c r="O5" s="385">
        <v>51.925146347642738</v>
      </c>
      <c r="P5" s="385">
        <v>16.751852999301924</v>
      </c>
      <c r="Q5" s="604" t="s">
        <v>211</v>
      </c>
      <c r="R5" s="604"/>
      <c r="S5" s="604"/>
      <c r="T5" s="11"/>
      <c r="U5" s="11"/>
      <c r="V5" s="11"/>
      <c r="W5" s="11"/>
      <c r="X5" s="11"/>
      <c r="Y5" s="11"/>
      <c r="Z5" s="11"/>
      <c r="AA5" s="514">
        <v>267</v>
      </c>
      <c r="AB5" s="385"/>
      <c r="AC5" s="385"/>
      <c r="AD5" s="385"/>
      <c r="AE5" s="385"/>
      <c r="AF5" s="385"/>
      <c r="AG5" s="334"/>
      <c r="AH5" s="385"/>
      <c r="AI5" s="385"/>
      <c r="AJ5" s="115"/>
      <c r="AK5" s="385"/>
      <c r="AL5" s="385"/>
      <c r="AM5" s="385"/>
      <c r="AN5" s="521"/>
      <c r="AO5" s="11"/>
      <c r="AP5" s="11"/>
      <c r="AQ5" s="514">
        <v>268</v>
      </c>
      <c r="AR5" s="385"/>
      <c r="AS5" s="385"/>
      <c r="AT5" s="387"/>
      <c r="AU5" s="385"/>
      <c r="AV5" s="385"/>
      <c r="AW5" s="334"/>
      <c r="AX5" s="385"/>
      <c r="AY5" s="385"/>
      <c r="AZ5" s="118"/>
      <c r="BA5" s="385"/>
      <c r="BB5" s="385"/>
      <c r="BC5" s="385"/>
      <c r="BD5" s="52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</row>
    <row r="6" spans="1:90" s="10" customFormat="1">
      <c r="A6" s="114" t="s">
        <v>232</v>
      </c>
      <c r="B6" s="467">
        <v>268</v>
      </c>
      <c r="C6" s="125" t="s">
        <v>233</v>
      </c>
      <c r="D6" s="385">
        <v>0.84637733124916792</v>
      </c>
      <c r="E6" s="385">
        <v>1.1460099568566653</v>
      </c>
      <c r="F6" s="387">
        <v>0.73854273794501324</v>
      </c>
      <c r="G6" s="385">
        <v>0.73027672865343018</v>
      </c>
      <c r="H6" s="385">
        <v>0.41154044214042179</v>
      </c>
      <c r="I6" s="334">
        <v>0.36343104075883026</v>
      </c>
      <c r="J6" s="385">
        <v>0.10239758124756547</v>
      </c>
      <c r="K6" s="385">
        <v>1.5752270384470834</v>
      </c>
      <c r="L6" s="118">
        <v>0.14594395900000001</v>
      </c>
      <c r="M6" s="385">
        <v>15.242087739847705</v>
      </c>
      <c r="N6" s="385">
        <v>4.465331971397422</v>
      </c>
      <c r="O6" s="385">
        <v>33.079278599357195</v>
      </c>
      <c r="P6" s="385">
        <v>12.471063722824805</v>
      </c>
      <c r="Q6" s="11" t="s">
        <v>199</v>
      </c>
      <c r="R6" s="11">
        <v>1</v>
      </c>
      <c r="S6" s="11"/>
      <c r="T6" s="11"/>
      <c r="U6" s="11"/>
      <c r="V6" s="11"/>
      <c r="W6" s="11"/>
      <c r="X6" s="11"/>
      <c r="Y6" s="11"/>
      <c r="Z6" s="11"/>
      <c r="AA6" s="514">
        <v>268</v>
      </c>
      <c r="AB6" s="385"/>
      <c r="AC6" s="385"/>
      <c r="AD6" s="387"/>
      <c r="AE6" s="385"/>
      <c r="AF6" s="385"/>
      <c r="AG6" s="334"/>
      <c r="AH6" s="385"/>
      <c r="AI6" s="385"/>
      <c r="AJ6" s="118"/>
      <c r="AK6" s="385"/>
      <c r="AL6" s="385"/>
      <c r="AM6" s="385"/>
      <c r="AN6" s="521"/>
      <c r="AO6" s="384" t="s">
        <v>501</v>
      </c>
      <c r="AP6" s="11"/>
      <c r="AQ6" s="514">
        <v>269</v>
      </c>
      <c r="AR6" s="385"/>
      <c r="AS6" s="385"/>
      <c r="AT6" s="387"/>
      <c r="AU6" s="385"/>
      <c r="AV6" s="385"/>
      <c r="AW6" s="334"/>
      <c r="AX6" s="385"/>
      <c r="AY6" s="385"/>
      <c r="AZ6" s="118"/>
      <c r="BA6" s="385"/>
      <c r="BB6" s="385"/>
      <c r="BC6" s="385"/>
      <c r="BD6" s="52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</row>
    <row r="7" spans="1:90" s="10" customFormat="1">
      <c r="A7" s="114" t="s">
        <v>241</v>
      </c>
      <c r="B7" s="467">
        <v>269</v>
      </c>
      <c r="C7" s="113" t="s">
        <v>242</v>
      </c>
      <c r="D7" s="385">
        <v>0.62310260350591018</v>
      </c>
      <c r="E7" s="385">
        <v>0.83236341618687038</v>
      </c>
      <c r="F7" s="387">
        <v>0.74859441367617729</v>
      </c>
      <c r="G7" s="385">
        <v>0.69166043348818873</v>
      </c>
      <c r="H7" s="385">
        <v>0.42394068771422216</v>
      </c>
      <c r="I7" s="334">
        <v>0.77872104138852472</v>
      </c>
      <c r="J7" s="385">
        <v>9.4447309958210601E-2</v>
      </c>
      <c r="K7" s="385">
        <v>2.5035048825872148</v>
      </c>
      <c r="L7" s="118">
        <v>0.106484196</v>
      </c>
      <c r="M7" s="385">
        <v>28.45591318619363</v>
      </c>
      <c r="N7" s="385">
        <v>8.4563473711617227</v>
      </c>
      <c r="O7" s="385">
        <v>52.032185867843076</v>
      </c>
      <c r="P7" s="385">
        <v>19.711485374672343</v>
      </c>
      <c r="Q7" s="11" t="s">
        <v>199</v>
      </c>
      <c r="R7" s="11">
        <v>1</v>
      </c>
      <c r="S7" s="11"/>
      <c r="T7" s="11"/>
      <c r="U7" s="11"/>
      <c r="V7" s="11"/>
      <c r="W7" s="11"/>
      <c r="X7" s="11"/>
      <c r="Y7" s="11"/>
      <c r="Z7" s="11"/>
      <c r="AA7" s="514">
        <v>269</v>
      </c>
      <c r="AB7" s="385"/>
      <c r="AC7" s="385"/>
      <c r="AD7" s="387"/>
      <c r="AE7" s="385"/>
      <c r="AF7" s="385"/>
      <c r="AG7" s="334"/>
      <c r="AH7" s="385"/>
      <c r="AI7" s="385"/>
      <c r="AJ7" s="118"/>
      <c r="AK7" s="385"/>
      <c r="AL7" s="385"/>
      <c r="AM7" s="385"/>
      <c r="AN7" s="521"/>
      <c r="AO7" s="388" t="s">
        <v>502</v>
      </c>
      <c r="AP7" s="11"/>
      <c r="AQ7" s="514">
        <v>270</v>
      </c>
      <c r="AR7" s="385"/>
      <c r="AS7" s="385"/>
      <c r="AT7" s="385"/>
      <c r="AU7" s="385"/>
      <c r="AV7" s="385"/>
      <c r="AW7" s="334"/>
      <c r="AX7" s="385"/>
      <c r="AY7" s="385"/>
      <c r="AZ7" s="335"/>
      <c r="BA7" s="385"/>
      <c r="BB7" s="385"/>
      <c r="BC7" s="385"/>
      <c r="BD7" s="522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</row>
    <row r="8" spans="1:90" s="10" customFormat="1">
      <c r="A8" s="114" t="s">
        <v>248</v>
      </c>
      <c r="B8" s="467">
        <v>270</v>
      </c>
      <c r="C8" s="113" t="s">
        <v>249</v>
      </c>
      <c r="D8" s="385">
        <v>1.9196394600740394</v>
      </c>
      <c r="E8" s="385">
        <v>1.1408502783435006</v>
      </c>
      <c r="F8" s="385">
        <v>1.6826392529450318</v>
      </c>
      <c r="G8" s="385">
        <v>0.51751358649091395</v>
      </c>
      <c r="H8" s="385">
        <v>0.19030573116487695</v>
      </c>
      <c r="I8" s="334">
        <v>0.98611502657650296</v>
      </c>
      <c r="J8" s="385">
        <v>0.11444619587536807</v>
      </c>
      <c r="K8" s="385">
        <v>1.5436055336455505</v>
      </c>
      <c r="L8" s="335">
        <v>7.2252078999999997E-2</v>
      </c>
      <c r="M8" s="385">
        <v>14.96599749447204</v>
      </c>
      <c r="N8" s="385">
        <v>7.7862338621120566</v>
      </c>
      <c r="O8" s="385">
        <v>32.70233330271725</v>
      </c>
      <c r="P8" s="386">
        <v>23.703299606805093</v>
      </c>
      <c r="Q8" s="11" t="s">
        <v>199</v>
      </c>
      <c r="R8" s="11">
        <v>1</v>
      </c>
      <c r="S8" s="11">
        <v>1</v>
      </c>
      <c r="T8" s="11"/>
      <c r="U8" s="11"/>
      <c r="V8" s="11"/>
      <c r="W8" s="11"/>
      <c r="X8" s="11"/>
      <c r="Y8" s="11"/>
      <c r="Z8" s="11"/>
      <c r="AA8" s="514">
        <v>270</v>
      </c>
      <c r="AB8" s="385"/>
      <c r="AC8" s="385"/>
      <c r="AD8" s="385"/>
      <c r="AE8" s="385"/>
      <c r="AF8" s="385"/>
      <c r="AG8" s="334"/>
      <c r="AH8" s="385"/>
      <c r="AI8" s="385"/>
      <c r="AJ8" s="335"/>
      <c r="AK8" s="385"/>
      <c r="AL8" s="385"/>
      <c r="AM8" s="385"/>
      <c r="AN8" s="522"/>
      <c r="AO8" s="11"/>
      <c r="AP8" s="11"/>
      <c r="AQ8" s="514">
        <v>271</v>
      </c>
      <c r="AR8" s="385"/>
      <c r="AS8" s="385"/>
      <c r="AT8" s="385"/>
      <c r="AU8" s="385"/>
      <c r="AV8" s="385"/>
      <c r="AW8" s="334"/>
      <c r="AX8" s="385"/>
      <c r="AY8" s="385"/>
      <c r="AZ8" s="118"/>
      <c r="BA8" s="386"/>
      <c r="BB8" s="385"/>
      <c r="BC8" s="385"/>
      <c r="BD8" s="52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</row>
    <row r="9" spans="1:90" s="10" customFormat="1">
      <c r="A9" s="114" t="s">
        <v>255</v>
      </c>
      <c r="B9" s="468">
        <v>271</v>
      </c>
      <c r="C9" s="113" t="s">
        <v>285</v>
      </c>
      <c r="D9" s="385">
        <v>1.3077264205099828</v>
      </c>
      <c r="E9" s="385">
        <v>0.99309201258028812</v>
      </c>
      <c r="F9" s="385">
        <v>1.3168230173478086</v>
      </c>
      <c r="G9" s="385">
        <v>0.60732603665355156</v>
      </c>
      <c r="H9" s="385">
        <v>0.13091680159197294</v>
      </c>
      <c r="I9" s="334">
        <v>0.26074276206756863</v>
      </c>
      <c r="J9" s="385">
        <v>9.2651677601279903E-2</v>
      </c>
      <c r="K9" s="385">
        <v>1.869995346341718</v>
      </c>
      <c r="L9" s="118">
        <v>0.120709598</v>
      </c>
      <c r="M9" s="386">
        <v>80.962775825373711</v>
      </c>
      <c r="N9" s="385">
        <v>5.1716792806886671</v>
      </c>
      <c r="O9" s="385">
        <v>28.282797145233594</v>
      </c>
      <c r="P9" s="385">
        <v>10.511787227464517</v>
      </c>
      <c r="Q9" s="11" t="s">
        <v>199</v>
      </c>
      <c r="R9" s="11"/>
      <c r="S9" s="11">
        <v>1</v>
      </c>
      <c r="T9" s="11"/>
      <c r="U9" s="11"/>
      <c r="V9" s="11"/>
      <c r="W9" s="11"/>
      <c r="X9" s="11"/>
      <c r="Y9" s="11"/>
      <c r="Z9" s="11"/>
      <c r="AA9" s="514">
        <v>271</v>
      </c>
      <c r="AB9" s="385"/>
      <c r="AC9" s="385"/>
      <c r="AD9" s="385"/>
      <c r="AE9" s="385"/>
      <c r="AF9" s="385"/>
      <c r="AG9" s="334"/>
      <c r="AH9" s="385"/>
      <c r="AI9" s="385"/>
      <c r="AJ9" s="118"/>
      <c r="AK9" s="386"/>
      <c r="AL9" s="385"/>
      <c r="AM9" s="385"/>
      <c r="AN9" s="521"/>
      <c r="AO9" s="11"/>
      <c r="AP9" s="11"/>
      <c r="AQ9" s="514">
        <v>272</v>
      </c>
      <c r="AR9" s="385"/>
      <c r="AS9" s="385"/>
      <c r="AT9" s="385"/>
      <c r="AU9" s="385"/>
      <c r="AV9" s="385"/>
      <c r="AW9" s="334"/>
      <c r="AX9" s="385"/>
      <c r="AY9" s="385"/>
      <c r="AZ9" s="335"/>
      <c r="BA9" s="385"/>
      <c r="BB9" s="385"/>
      <c r="BC9" s="385"/>
      <c r="BD9" s="52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</row>
    <row r="10" spans="1:90" s="10" customFormat="1">
      <c r="A10" s="114" t="s">
        <v>263</v>
      </c>
      <c r="B10" s="468">
        <v>272</v>
      </c>
      <c r="C10" s="113" t="s">
        <v>264</v>
      </c>
      <c r="D10" s="385">
        <v>1.2130232684778159</v>
      </c>
      <c r="E10" s="385">
        <v>0.85386525499692523</v>
      </c>
      <c r="F10" s="385">
        <v>1.4206261015763944</v>
      </c>
      <c r="G10" s="385">
        <v>0.58215692125316298</v>
      </c>
      <c r="H10" s="385">
        <v>0.77124622730041126</v>
      </c>
      <c r="I10" s="334">
        <v>0.2354175291098837</v>
      </c>
      <c r="J10" s="385">
        <v>0.108393663150728</v>
      </c>
      <c r="K10" s="385">
        <v>1.2391479691224985</v>
      </c>
      <c r="L10" s="335">
        <v>9.6393888999999996E-2</v>
      </c>
      <c r="M10" s="385">
        <v>10.337557948290234</v>
      </c>
      <c r="N10" s="385">
        <v>5.2843204132524484</v>
      </c>
      <c r="O10" s="385">
        <v>46.354731622731769</v>
      </c>
      <c r="P10" s="385">
        <v>13.148830190921192</v>
      </c>
      <c r="Q10" s="11" t="s">
        <v>199</v>
      </c>
      <c r="R10" s="11">
        <v>1</v>
      </c>
      <c r="S10" s="11"/>
      <c r="T10" s="11"/>
      <c r="U10" s="11"/>
      <c r="V10" s="11"/>
      <c r="W10" s="11"/>
      <c r="X10" s="11"/>
      <c r="Y10" s="11"/>
      <c r="Z10" s="11"/>
      <c r="AA10" s="514">
        <v>272</v>
      </c>
      <c r="AB10" s="385"/>
      <c r="AC10" s="385"/>
      <c r="AD10" s="385"/>
      <c r="AE10" s="385"/>
      <c r="AF10" s="385"/>
      <c r="AG10" s="334"/>
      <c r="AH10" s="385"/>
      <c r="AI10" s="385"/>
      <c r="AJ10" s="335"/>
      <c r="AK10" s="385"/>
      <c r="AL10" s="385"/>
      <c r="AM10" s="385"/>
      <c r="AN10" s="521"/>
      <c r="AO10" s="11"/>
      <c r="AP10" s="11"/>
      <c r="AQ10" s="514">
        <v>273</v>
      </c>
      <c r="AR10" s="385"/>
      <c r="AS10" s="385"/>
      <c r="AT10" s="385"/>
      <c r="AU10" s="385"/>
      <c r="AV10" s="385"/>
      <c r="AW10" s="334"/>
      <c r="AX10" s="385"/>
      <c r="AY10" s="385"/>
      <c r="AZ10" s="335"/>
      <c r="BA10" s="385"/>
      <c r="BB10" s="385"/>
      <c r="BC10" s="385"/>
      <c r="BD10" s="52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</row>
    <row r="11" spans="1:90" s="10" customFormat="1">
      <c r="A11" s="114" t="s">
        <v>270</v>
      </c>
      <c r="B11" s="468">
        <v>273</v>
      </c>
      <c r="C11" s="113" t="s">
        <v>65</v>
      </c>
      <c r="D11" s="385">
        <v>1.4253477754193897</v>
      </c>
      <c r="E11" s="385">
        <v>1.0588918280068134</v>
      </c>
      <c r="F11" s="385">
        <v>1.3460749603690572</v>
      </c>
      <c r="G11" s="385">
        <v>0.61597476120484651</v>
      </c>
      <c r="H11" s="385">
        <v>0.6554025083347147</v>
      </c>
      <c r="I11" s="334">
        <v>1.4172083988213089</v>
      </c>
      <c r="J11" s="385">
        <v>0.12532154071908655</v>
      </c>
      <c r="K11" s="385">
        <v>1.4605500981694235</v>
      </c>
      <c r="L11" s="335">
        <v>6.3537283E-2</v>
      </c>
      <c r="M11" s="385">
        <v>15.877420682503956</v>
      </c>
      <c r="N11" s="385">
        <v>2.9591231147232127</v>
      </c>
      <c r="O11" s="385">
        <v>33.488933115633898</v>
      </c>
      <c r="P11" s="385">
        <v>15.000817424404852</v>
      </c>
      <c r="Q11" s="11" t="s">
        <v>199</v>
      </c>
      <c r="R11" s="11">
        <v>1</v>
      </c>
      <c r="S11" s="11"/>
      <c r="T11" s="11"/>
      <c r="U11" s="11"/>
      <c r="V11" s="11"/>
      <c r="W11" s="11"/>
      <c r="X11" s="11"/>
      <c r="Y11" s="11"/>
      <c r="Z11" s="11"/>
      <c r="AA11" s="514">
        <v>273</v>
      </c>
      <c r="AB11" s="385"/>
      <c r="AC11" s="385"/>
      <c r="AD11" s="385"/>
      <c r="AE11" s="385"/>
      <c r="AF11" s="385"/>
      <c r="AG11" s="334"/>
      <c r="AH11" s="385"/>
      <c r="AI11" s="385"/>
      <c r="AJ11" s="335"/>
      <c r="AK11" s="385"/>
      <c r="AL11" s="385"/>
      <c r="AM11" s="385"/>
      <c r="AN11" s="521"/>
      <c r="AO11" s="11"/>
      <c r="AP11" s="11"/>
      <c r="AQ11" s="514">
        <v>274</v>
      </c>
      <c r="AR11" s="385"/>
      <c r="AS11" s="385"/>
      <c r="AT11" s="385"/>
      <c r="AU11" s="385"/>
      <c r="AV11" s="385"/>
      <c r="AW11" s="334"/>
      <c r="AX11" s="385"/>
      <c r="AY11" s="385"/>
      <c r="AZ11" s="335"/>
      <c r="BA11" s="385"/>
      <c r="BB11" s="385"/>
      <c r="BC11" s="385"/>
      <c r="BD11" s="52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</row>
    <row r="12" spans="1:90" s="10" customFormat="1">
      <c r="A12" s="114" t="s">
        <v>278</v>
      </c>
      <c r="B12" s="469">
        <v>274</v>
      </c>
      <c r="C12" s="113" t="s">
        <v>279</v>
      </c>
      <c r="D12" s="385">
        <v>0.84865096334466161</v>
      </c>
      <c r="E12" s="385">
        <v>0.63702841300967905</v>
      </c>
      <c r="F12" s="385">
        <v>1.3322026867454138</v>
      </c>
      <c r="G12" s="385">
        <v>0.65618582638158063</v>
      </c>
      <c r="H12" s="385">
        <v>0.25794651582624872</v>
      </c>
      <c r="I12" s="334">
        <v>1.145173729155692</v>
      </c>
      <c r="J12" s="385">
        <v>0.11269483264474515</v>
      </c>
      <c r="K12" s="385">
        <v>1.20365673905711</v>
      </c>
      <c r="L12" s="335">
        <v>4.2587980999999997E-2</v>
      </c>
      <c r="M12" s="385">
        <v>16.528795660512277</v>
      </c>
      <c r="N12" s="385">
        <v>2.3168990234349147</v>
      </c>
      <c r="O12" s="385">
        <v>24.360892559869779</v>
      </c>
      <c r="P12" s="385">
        <v>14.865572111240544</v>
      </c>
      <c r="Q12" s="11" t="s">
        <v>199</v>
      </c>
      <c r="R12" s="11">
        <v>1</v>
      </c>
      <c r="S12" s="11"/>
      <c r="T12" s="11"/>
      <c r="U12" s="11"/>
      <c r="V12" s="11"/>
      <c r="W12" s="11"/>
      <c r="X12" s="11"/>
      <c r="Y12" s="11"/>
      <c r="Z12" s="11"/>
      <c r="AA12" s="514">
        <v>274</v>
      </c>
      <c r="AB12" s="385"/>
      <c r="AC12" s="385"/>
      <c r="AD12" s="385"/>
      <c r="AE12" s="385"/>
      <c r="AF12" s="385"/>
      <c r="AG12" s="334"/>
      <c r="AH12" s="385"/>
      <c r="AI12" s="385"/>
      <c r="AJ12" s="335"/>
      <c r="AK12" s="385"/>
      <c r="AL12" s="385"/>
      <c r="AM12" s="385"/>
      <c r="AN12" s="521"/>
      <c r="AO12" s="11"/>
      <c r="AP12" s="11"/>
      <c r="AQ12" s="514">
        <v>275</v>
      </c>
      <c r="AR12" s="385"/>
      <c r="AS12" s="385"/>
      <c r="AT12" s="385"/>
      <c r="AU12" s="385"/>
      <c r="AV12" s="387"/>
      <c r="AW12" s="334"/>
      <c r="AX12" s="385"/>
      <c r="AY12" s="385"/>
      <c r="AZ12" s="335"/>
      <c r="BA12" s="385"/>
      <c r="BB12" s="385"/>
      <c r="BC12" s="387"/>
      <c r="BD12" s="523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</row>
    <row r="13" spans="1:90" s="10" customFormat="1">
      <c r="A13" s="114" t="s">
        <v>284</v>
      </c>
      <c r="B13" s="469">
        <v>275</v>
      </c>
      <c r="C13" s="113" t="s">
        <v>285</v>
      </c>
      <c r="D13" s="385">
        <v>1.0475753488631439</v>
      </c>
      <c r="E13" s="385">
        <v>0.75246480299616647</v>
      </c>
      <c r="F13" s="385">
        <v>1.3921918270355043</v>
      </c>
      <c r="G13" s="385">
        <v>0.82849859929945668</v>
      </c>
      <c r="H13" s="387">
        <v>7.0006258960172582E-2</v>
      </c>
      <c r="I13" s="334">
        <v>0.6254300523816636</v>
      </c>
      <c r="J13" s="385">
        <v>9.9375878394374395E-2</v>
      </c>
      <c r="K13" s="385">
        <v>1.8696205337874379</v>
      </c>
      <c r="L13" s="335">
        <v>4.7066524999999998E-2</v>
      </c>
      <c r="M13" s="385">
        <v>31.438319882000986</v>
      </c>
      <c r="N13" s="385">
        <v>3.2297901227997055</v>
      </c>
      <c r="O13" s="387">
        <v>15.207002887108089</v>
      </c>
      <c r="P13" s="387">
        <v>6.8879128940662167</v>
      </c>
      <c r="Q13" s="11" t="s">
        <v>199</v>
      </c>
      <c r="R13" s="11">
        <v>4</v>
      </c>
      <c r="S13" s="11"/>
      <c r="T13" s="11"/>
      <c r="U13" s="11"/>
      <c r="V13" s="11"/>
      <c r="W13" s="11"/>
      <c r="X13" s="11"/>
      <c r="Y13" s="11"/>
      <c r="Z13" s="11"/>
      <c r="AA13" s="514">
        <v>275</v>
      </c>
      <c r="AB13" s="385"/>
      <c r="AC13" s="385"/>
      <c r="AD13" s="385"/>
      <c r="AE13" s="385"/>
      <c r="AF13" s="387"/>
      <c r="AG13" s="334"/>
      <c r="AH13" s="385"/>
      <c r="AI13" s="385"/>
      <c r="AJ13" s="335"/>
      <c r="AK13" s="385"/>
      <c r="AL13" s="385"/>
      <c r="AM13" s="387"/>
      <c r="AN13" s="523"/>
      <c r="AO13" s="11"/>
      <c r="AP13" s="11"/>
      <c r="AQ13" s="514">
        <v>276</v>
      </c>
      <c r="AR13" s="386"/>
      <c r="AS13" s="385"/>
      <c r="AT13" s="385"/>
      <c r="AU13" s="385"/>
      <c r="AV13" s="385"/>
      <c r="AW13" s="334"/>
      <c r="AX13" s="385"/>
      <c r="AY13" s="385"/>
      <c r="AZ13" s="118"/>
      <c r="BA13" s="385"/>
      <c r="BB13" s="385"/>
      <c r="BC13" s="385"/>
      <c r="BD13" s="52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</row>
    <row r="14" spans="1:90" s="10" customFormat="1">
      <c r="A14" s="114" t="s">
        <v>293</v>
      </c>
      <c r="B14" s="469">
        <v>276</v>
      </c>
      <c r="C14" s="113" t="s">
        <v>294</v>
      </c>
      <c r="D14" s="386">
        <v>2.6677890542357088</v>
      </c>
      <c r="E14" s="385">
        <v>1.5912560861883029</v>
      </c>
      <c r="F14" s="385">
        <v>1.6765303067126893</v>
      </c>
      <c r="G14" s="385">
        <v>0.65760080291268863</v>
      </c>
      <c r="H14" s="385">
        <v>0.40812112796112404</v>
      </c>
      <c r="I14" s="334">
        <v>0.21655589355015592</v>
      </c>
      <c r="J14" s="385">
        <v>0.13175947205451993</v>
      </c>
      <c r="K14" s="385">
        <v>2.4658326018442955</v>
      </c>
      <c r="L14" s="118">
        <v>0.12860566800000001</v>
      </c>
      <c r="M14" s="385">
        <v>29.253690764735659</v>
      </c>
      <c r="N14" s="385">
        <v>3.1143356811713305</v>
      </c>
      <c r="O14" s="385">
        <v>47.163578706110002</v>
      </c>
      <c r="P14" s="385">
        <v>8.9445339348536468</v>
      </c>
      <c r="Q14" s="11" t="s">
        <v>199</v>
      </c>
      <c r="R14" s="11"/>
      <c r="S14" s="11">
        <v>1</v>
      </c>
      <c r="T14" s="11"/>
      <c r="U14" s="11"/>
      <c r="V14" s="11"/>
      <c r="W14" s="11"/>
      <c r="X14" s="11"/>
      <c r="Y14" s="11"/>
      <c r="Z14" s="11"/>
      <c r="AA14" s="514">
        <v>276</v>
      </c>
      <c r="AB14" s="386"/>
      <c r="AC14" s="385"/>
      <c r="AD14" s="385"/>
      <c r="AE14" s="385"/>
      <c r="AF14" s="385"/>
      <c r="AG14" s="334"/>
      <c r="AH14" s="385"/>
      <c r="AI14" s="385"/>
      <c r="AJ14" s="118"/>
      <c r="AK14" s="385"/>
      <c r="AL14" s="385"/>
      <c r="AM14" s="385"/>
      <c r="AN14" s="521"/>
      <c r="AO14" s="11"/>
      <c r="AP14" s="11"/>
      <c r="AQ14" s="514">
        <v>277</v>
      </c>
      <c r="AR14" s="385"/>
      <c r="AS14" s="385"/>
      <c r="AT14" s="385"/>
      <c r="AU14" s="385"/>
      <c r="AV14" s="385"/>
      <c r="AW14" s="334"/>
      <c r="AX14" s="385"/>
      <c r="AY14" s="385"/>
      <c r="AZ14" s="118"/>
      <c r="BA14" s="386"/>
      <c r="BB14" s="385"/>
      <c r="BC14" s="385"/>
      <c r="BD14" s="52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</row>
    <row r="15" spans="1:90" s="10" customFormat="1">
      <c r="A15" s="114" t="s">
        <v>297</v>
      </c>
      <c r="B15" s="469">
        <v>277</v>
      </c>
      <c r="C15" s="113" t="s">
        <v>46</v>
      </c>
      <c r="D15" s="385">
        <v>1.6748595543822009</v>
      </c>
      <c r="E15" s="385">
        <v>1.4524224085730055</v>
      </c>
      <c r="F15" s="385">
        <v>1.1531490732284542</v>
      </c>
      <c r="G15" s="385">
        <v>0.85963921249960684</v>
      </c>
      <c r="H15" s="385">
        <v>0.41981916020803411</v>
      </c>
      <c r="I15" s="334">
        <v>0.680212270440825</v>
      </c>
      <c r="J15" s="385">
        <v>0.12814969640077478</v>
      </c>
      <c r="K15" s="385">
        <v>2.2812156660428076</v>
      </c>
      <c r="L15" s="118">
        <v>0.15631236500000001</v>
      </c>
      <c r="M15" s="386">
        <v>83.497975811064521</v>
      </c>
      <c r="N15" s="385">
        <v>5.6250879608107702</v>
      </c>
      <c r="O15" s="385">
        <v>40.98777081225149</v>
      </c>
      <c r="P15" s="385">
        <v>14.179652884456388</v>
      </c>
      <c r="Q15" s="11" t="s">
        <v>199</v>
      </c>
      <c r="R15" s="11"/>
      <c r="S15" s="11">
        <v>1</v>
      </c>
      <c r="T15" s="11"/>
      <c r="U15" s="11"/>
      <c r="V15" s="11"/>
      <c r="W15" s="11"/>
      <c r="X15" s="11"/>
      <c r="Y15" s="11"/>
      <c r="Z15" s="11"/>
      <c r="AA15" s="514">
        <v>277</v>
      </c>
      <c r="AB15" s="385"/>
      <c r="AC15" s="385"/>
      <c r="AD15" s="385"/>
      <c r="AE15" s="385"/>
      <c r="AF15" s="385"/>
      <c r="AG15" s="334"/>
      <c r="AH15" s="385"/>
      <c r="AI15" s="385"/>
      <c r="AJ15" s="118"/>
      <c r="AK15" s="386"/>
      <c r="AL15" s="385"/>
      <c r="AM15" s="385"/>
      <c r="AN15" s="521"/>
      <c r="AO15" s="11"/>
      <c r="AP15" s="11"/>
      <c r="AQ15" s="514">
        <v>278</v>
      </c>
      <c r="AR15" s="385"/>
      <c r="AS15" s="385"/>
      <c r="AT15" s="385"/>
      <c r="AU15" s="385"/>
      <c r="AV15" s="385"/>
      <c r="AW15" s="334"/>
      <c r="AX15" s="385"/>
      <c r="AY15" s="385"/>
      <c r="AZ15" s="118"/>
      <c r="BA15" s="385"/>
      <c r="BB15" s="385"/>
      <c r="BC15" s="385"/>
      <c r="BD15" s="52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</row>
    <row r="16" spans="1:90" s="10" customFormat="1">
      <c r="A16" s="114" t="s">
        <v>302</v>
      </c>
      <c r="B16" s="469">
        <v>278</v>
      </c>
      <c r="C16" s="113" t="s">
        <v>303</v>
      </c>
      <c r="D16" s="385">
        <v>1.9008282080081784</v>
      </c>
      <c r="E16" s="385">
        <v>1.0940247478623908</v>
      </c>
      <c r="F16" s="385">
        <v>1.7374636284254055</v>
      </c>
      <c r="G16" s="385">
        <v>0.62139509249327018</v>
      </c>
      <c r="H16" s="385">
        <v>0.47758323629601235</v>
      </c>
      <c r="I16" s="334">
        <v>0.6040295673190077</v>
      </c>
      <c r="J16" s="385">
        <v>0.12661467378899388</v>
      </c>
      <c r="K16" s="385">
        <v>1.6373783440978766</v>
      </c>
      <c r="L16" s="118">
        <v>0.26329436099999998</v>
      </c>
      <c r="M16" s="385">
        <v>39.155006899915449</v>
      </c>
      <c r="N16" s="385">
        <v>4.7031227550245323</v>
      </c>
      <c r="O16" s="385">
        <v>47.75152818071593</v>
      </c>
      <c r="P16" s="385">
        <v>13.562811535227414</v>
      </c>
      <c r="Q16" s="604" t="s">
        <v>211</v>
      </c>
      <c r="R16" s="604"/>
      <c r="S16" s="604"/>
      <c r="T16" s="11"/>
      <c r="U16" s="11"/>
      <c r="V16" s="11"/>
      <c r="W16" s="11"/>
      <c r="X16" s="11"/>
      <c r="Y16" s="11"/>
      <c r="Z16" s="11"/>
      <c r="AA16" s="514">
        <v>278</v>
      </c>
      <c r="AB16" s="385"/>
      <c r="AC16" s="385"/>
      <c r="AD16" s="385"/>
      <c r="AE16" s="385"/>
      <c r="AF16" s="385"/>
      <c r="AG16" s="334"/>
      <c r="AH16" s="385"/>
      <c r="AI16" s="385"/>
      <c r="AJ16" s="118"/>
      <c r="AK16" s="385"/>
      <c r="AL16" s="385"/>
      <c r="AM16" s="385"/>
      <c r="AN16" s="521"/>
      <c r="AO16" s="11"/>
      <c r="AP16" s="11"/>
      <c r="AQ16" s="517">
        <v>286</v>
      </c>
      <c r="AR16" s="385"/>
      <c r="AS16" s="385"/>
      <c r="AT16" s="385"/>
      <c r="AU16" s="385"/>
      <c r="AV16" s="385"/>
      <c r="AW16" s="334"/>
      <c r="AX16" s="385"/>
      <c r="AY16" s="385"/>
      <c r="AZ16" s="118"/>
      <c r="BA16" s="385"/>
      <c r="BB16" s="385"/>
      <c r="BC16" s="385"/>
      <c r="BD16" s="52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</row>
    <row r="17" spans="1:90" s="14" customFormat="1">
      <c r="A17" s="122" t="s">
        <v>334</v>
      </c>
      <c r="B17" s="353">
        <v>279</v>
      </c>
      <c r="C17" s="123" t="s">
        <v>335</v>
      </c>
      <c r="D17" s="387">
        <v>0.39802582608177894</v>
      </c>
      <c r="E17" s="387">
        <v>0.21438900176093634</v>
      </c>
      <c r="F17" s="385">
        <v>1.8565589783640803</v>
      </c>
      <c r="G17" s="385">
        <v>0.60127998232578128</v>
      </c>
      <c r="H17" s="385">
        <v>0.38444981073316759</v>
      </c>
      <c r="I17" s="334">
        <v>0.77748698794526194</v>
      </c>
      <c r="J17" s="385">
        <v>9.7303946088947865E-2</v>
      </c>
      <c r="K17" s="385">
        <v>1.9898097467204194</v>
      </c>
      <c r="L17" s="118">
        <v>0.10622211099999999</v>
      </c>
      <c r="M17" s="385">
        <v>16.156944906751868</v>
      </c>
      <c r="N17" s="385">
        <v>6.6726795948607212</v>
      </c>
      <c r="O17" s="387">
        <v>13.339716484097286</v>
      </c>
      <c r="P17" s="385">
        <v>17.23402651096546</v>
      </c>
      <c r="Q17" s="11" t="s">
        <v>199</v>
      </c>
      <c r="R17" s="11">
        <v>3</v>
      </c>
      <c r="S17" s="11"/>
      <c r="T17" s="11"/>
      <c r="U17" s="11"/>
      <c r="V17" s="11"/>
      <c r="W17" s="11"/>
      <c r="X17" s="11"/>
      <c r="Y17" s="11"/>
      <c r="Z17" s="11"/>
      <c r="AA17" s="515">
        <v>279</v>
      </c>
      <c r="AB17" s="387"/>
      <c r="AC17" s="387"/>
      <c r="AD17" s="385"/>
      <c r="AE17" s="385"/>
      <c r="AF17" s="385"/>
      <c r="AG17" s="334"/>
      <c r="AH17" s="385"/>
      <c r="AI17" s="385"/>
      <c r="AJ17" s="118"/>
      <c r="AK17" s="385"/>
      <c r="AL17" s="385"/>
      <c r="AM17" s="387"/>
      <c r="AN17" s="521"/>
      <c r="AO17" s="11"/>
      <c r="AP17" s="11"/>
      <c r="AQ17" s="514">
        <v>291</v>
      </c>
      <c r="AR17" s="386"/>
      <c r="AS17" s="386"/>
      <c r="AT17" s="385"/>
      <c r="AU17" s="387"/>
      <c r="AV17" s="385"/>
      <c r="AW17" s="334"/>
      <c r="AX17" s="385"/>
      <c r="AY17" s="386"/>
      <c r="AZ17" s="335"/>
      <c r="BA17" s="385"/>
      <c r="BB17" s="385"/>
      <c r="BC17" s="385"/>
      <c r="BD17" s="523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</row>
    <row r="18" spans="1:90" s="14" customFormat="1">
      <c r="A18" s="122" t="s">
        <v>343</v>
      </c>
      <c r="B18" s="353">
        <v>280</v>
      </c>
      <c r="C18" s="123" t="s">
        <v>344</v>
      </c>
      <c r="D18" s="385">
        <v>0.49549544558601</v>
      </c>
      <c r="E18" s="387">
        <v>0.33545914827243684</v>
      </c>
      <c r="F18" s="385">
        <v>1.4770664271275222</v>
      </c>
      <c r="G18" s="385">
        <v>0.624874961096055</v>
      </c>
      <c r="H18" s="385">
        <v>0.36144824801130815</v>
      </c>
      <c r="I18" s="334">
        <v>1.1101122248764816</v>
      </c>
      <c r="J18" s="385">
        <v>9.5228063430707888E-2</v>
      </c>
      <c r="K18" s="385">
        <v>1.964907531829583</v>
      </c>
      <c r="L18" s="118">
        <v>0.19175136300000001</v>
      </c>
      <c r="M18" s="385">
        <v>11.286938885402565</v>
      </c>
      <c r="N18" s="385">
        <v>8.2871587084794722</v>
      </c>
      <c r="O18" s="387">
        <v>14.514191578994575</v>
      </c>
      <c r="P18" s="385">
        <v>17.120705153383973</v>
      </c>
      <c r="Q18" s="11" t="s">
        <v>199</v>
      </c>
      <c r="R18" s="11">
        <v>2</v>
      </c>
      <c r="S18" s="11"/>
      <c r="T18" s="11"/>
      <c r="U18" s="11"/>
      <c r="V18" s="11"/>
      <c r="W18" s="11"/>
      <c r="X18" s="11"/>
      <c r="Y18" s="11"/>
      <c r="Z18" s="11"/>
      <c r="AA18" s="515">
        <v>280</v>
      </c>
      <c r="AB18" s="385"/>
      <c r="AC18" s="387"/>
      <c r="AD18" s="385"/>
      <c r="AE18" s="385"/>
      <c r="AF18" s="385"/>
      <c r="AG18" s="334"/>
      <c r="AH18" s="385"/>
      <c r="AI18" s="385"/>
      <c r="AJ18" s="118"/>
      <c r="AK18" s="385"/>
      <c r="AL18" s="385"/>
      <c r="AM18" s="387"/>
      <c r="AN18" s="521"/>
      <c r="AO18" s="11"/>
      <c r="AP18" s="11"/>
      <c r="AQ18" s="514">
        <v>292</v>
      </c>
      <c r="AR18" s="385"/>
      <c r="AS18" s="385"/>
      <c r="AT18" s="387"/>
      <c r="AU18" s="385"/>
      <c r="AV18" s="385"/>
      <c r="AW18" s="334"/>
      <c r="AX18" s="385"/>
      <c r="AY18" s="385"/>
      <c r="AZ18" s="335"/>
      <c r="BA18" s="385"/>
      <c r="BB18" s="385"/>
      <c r="BC18" s="385"/>
      <c r="BD18" s="52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</row>
    <row r="19" spans="1:90" s="14" customFormat="1">
      <c r="A19" s="122" t="s">
        <v>349</v>
      </c>
      <c r="B19" s="353">
        <v>281</v>
      </c>
      <c r="C19" s="123" t="s">
        <v>350</v>
      </c>
      <c r="D19" s="385">
        <v>0.57087761873536824</v>
      </c>
      <c r="E19" s="385">
        <v>0.40682730975062736</v>
      </c>
      <c r="F19" s="385">
        <v>1.4032431084464281</v>
      </c>
      <c r="G19" s="385">
        <v>0.83117383417170265</v>
      </c>
      <c r="H19" s="385">
        <v>0.1649398338924434</v>
      </c>
      <c r="I19" s="334">
        <v>0.56455670800599966</v>
      </c>
      <c r="J19" s="385">
        <v>9.8445590595974894E-2</v>
      </c>
      <c r="K19" s="385">
        <v>1.2391511816101899</v>
      </c>
      <c r="L19" s="118">
        <v>0.10580835199999999</v>
      </c>
      <c r="M19" s="385">
        <v>14.428735578520175</v>
      </c>
      <c r="N19" s="385">
        <v>5.6316537214129641</v>
      </c>
      <c r="O19" s="385">
        <v>40.856469272505002</v>
      </c>
      <c r="P19" s="385">
        <v>20.461411121153841</v>
      </c>
      <c r="Q19" s="605" t="s">
        <v>211</v>
      </c>
      <c r="R19" s="605"/>
      <c r="S19" s="605"/>
      <c r="T19" s="11"/>
      <c r="U19" s="11"/>
      <c r="V19" s="11"/>
      <c r="W19" s="11"/>
      <c r="X19" s="11"/>
      <c r="Y19" s="11"/>
      <c r="Z19" s="11"/>
      <c r="AA19" s="515">
        <v>281</v>
      </c>
      <c r="AB19" s="385"/>
      <c r="AC19" s="385"/>
      <c r="AD19" s="385"/>
      <c r="AE19" s="385"/>
      <c r="AF19" s="385"/>
      <c r="AG19" s="334"/>
      <c r="AH19" s="385"/>
      <c r="AI19" s="385"/>
      <c r="AJ19" s="118"/>
      <c r="AK19" s="385"/>
      <c r="AL19" s="385"/>
      <c r="AM19" s="385"/>
      <c r="AN19" s="521"/>
      <c r="AO19" s="11"/>
      <c r="AP19" s="11"/>
      <c r="AQ19" s="514">
        <v>293</v>
      </c>
      <c r="AR19" s="385"/>
      <c r="AS19" s="385"/>
      <c r="AT19" s="385"/>
      <c r="AU19" s="385"/>
      <c r="AV19" s="385"/>
      <c r="AW19" s="334"/>
      <c r="AX19" s="385"/>
      <c r="AY19" s="385"/>
      <c r="AZ19" s="335"/>
      <c r="BA19" s="385"/>
      <c r="BB19" s="385"/>
      <c r="BC19" s="385"/>
      <c r="BD19" s="523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</row>
    <row r="20" spans="1:90" s="14" customFormat="1">
      <c r="A20" s="122" t="s">
        <v>356</v>
      </c>
      <c r="B20" s="353">
        <v>282</v>
      </c>
      <c r="C20" s="123" t="s">
        <v>357</v>
      </c>
      <c r="D20" s="387">
        <v>0.32113424072430774</v>
      </c>
      <c r="E20" s="387">
        <v>0.24681026978891235</v>
      </c>
      <c r="F20" s="385">
        <v>1.3011380806761481</v>
      </c>
      <c r="G20" s="385">
        <v>0.59922121438168163</v>
      </c>
      <c r="H20" s="385">
        <v>0.18263539274901588</v>
      </c>
      <c r="I20" s="334">
        <v>0.62732444869319093</v>
      </c>
      <c r="J20" s="385">
        <v>8.866665677896253E-2</v>
      </c>
      <c r="K20" s="385">
        <v>1.0354407030044483</v>
      </c>
      <c r="L20" s="118">
        <v>0.11634808100000001</v>
      </c>
      <c r="M20" s="385">
        <v>18.556528568958537</v>
      </c>
      <c r="N20" s="385">
        <v>3.423959830853136</v>
      </c>
      <c r="O20" s="385">
        <v>26.639822999982162</v>
      </c>
      <c r="P20" s="385">
        <v>13.038491218730005</v>
      </c>
      <c r="Q20" s="11" t="s">
        <v>199</v>
      </c>
      <c r="R20" s="11">
        <v>2</v>
      </c>
      <c r="S20" s="11"/>
      <c r="T20" s="11"/>
      <c r="U20" s="11"/>
      <c r="V20" s="11"/>
      <c r="W20" s="11"/>
      <c r="X20" s="11"/>
      <c r="Y20" s="11"/>
      <c r="Z20" s="11"/>
      <c r="AA20" s="515">
        <v>282</v>
      </c>
      <c r="AB20" s="387"/>
      <c r="AC20" s="387"/>
      <c r="AD20" s="385"/>
      <c r="AE20" s="385"/>
      <c r="AF20" s="385"/>
      <c r="AG20" s="334"/>
      <c r="AH20" s="385"/>
      <c r="AI20" s="385"/>
      <c r="AJ20" s="118"/>
      <c r="AK20" s="385"/>
      <c r="AL20" s="385"/>
      <c r="AM20" s="385"/>
      <c r="AN20" s="521"/>
      <c r="AO20" s="11"/>
      <c r="AP20" s="11"/>
      <c r="AQ20" s="517">
        <v>294</v>
      </c>
      <c r="AR20" s="386"/>
      <c r="AS20" s="386"/>
      <c r="AT20" s="386"/>
      <c r="AU20" s="387"/>
      <c r="AV20" s="385"/>
      <c r="AW20" s="334"/>
      <c r="AX20" s="385"/>
      <c r="AY20" s="385"/>
      <c r="AZ20" s="335"/>
      <c r="BA20" s="385"/>
      <c r="BB20" s="385"/>
      <c r="BC20" s="385"/>
      <c r="BD20" s="52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</row>
    <row r="21" spans="1:90" s="14" customFormat="1" ht="16.149999999999999" customHeight="1">
      <c r="A21" s="122" t="s">
        <v>363</v>
      </c>
      <c r="B21" s="353">
        <v>283</v>
      </c>
      <c r="C21" s="123" t="s">
        <v>364</v>
      </c>
      <c r="D21" s="385">
        <v>0.50709474899617213</v>
      </c>
      <c r="E21" s="385">
        <v>0.41049983464271422</v>
      </c>
      <c r="F21" s="385">
        <v>1.2353104829811463</v>
      </c>
      <c r="G21" s="385">
        <v>0.78011930635933724</v>
      </c>
      <c r="H21" s="385">
        <v>0.21131179021106664</v>
      </c>
      <c r="I21" s="334">
        <v>0.84539294877250759</v>
      </c>
      <c r="J21" s="385">
        <v>7.2224043242355457E-2</v>
      </c>
      <c r="K21" s="385">
        <v>1.6265029706045502</v>
      </c>
      <c r="L21" s="118">
        <v>0.108114896</v>
      </c>
      <c r="M21" s="385">
        <v>16.621490877041563</v>
      </c>
      <c r="N21" s="385">
        <v>5.4486518650726001</v>
      </c>
      <c r="O21" s="385">
        <v>32.88475675318751</v>
      </c>
      <c r="P21" s="385">
        <v>17.376293957311603</v>
      </c>
      <c r="Q21" s="605" t="s">
        <v>211</v>
      </c>
      <c r="R21" s="605"/>
      <c r="S21" s="605"/>
      <c r="T21" s="11"/>
      <c r="U21" s="11"/>
      <c r="V21" s="11"/>
      <c r="W21" s="11"/>
      <c r="X21" s="11"/>
      <c r="Y21" s="11"/>
      <c r="Z21" s="11"/>
      <c r="AA21" s="515">
        <v>283</v>
      </c>
      <c r="AB21" s="385"/>
      <c r="AC21" s="385"/>
      <c r="AD21" s="385"/>
      <c r="AE21" s="385"/>
      <c r="AF21" s="385"/>
      <c r="AG21" s="334"/>
      <c r="AH21" s="385"/>
      <c r="AI21" s="385"/>
      <c r="AJ21" s="118"/>
      <c r="AK21" s="385"/>
      <c r="AL21" s="385"/>
      <c r="AM21" s="385"/>
      <c r="AN21" s="521"/>
      <c r="AO21" s="11"/>
      <c r="AP21" s="11"/>
      <c r="AQ21" s="515">
        <v>279</v>
      </c>
      <c r="AR21" s="387"/>
      <c r="AS21" s="387"/>
      <c r="AT21" s="385"/>
      <c r="AU21" s="385"/>
      <c r="AV21" s="385"/>
      <c r="AW21" s="334"/>
      <c r="AX21" s="385"/>
      <c r="AY21" s="385"/>
      <c r="AZ21" s="118"/>
      <c r="BA21" s="385"/>
      <c r="BB21" s="385"/>
      <c r="BC21" s="387"/>
      <c r="BD21" s="52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</row>
    <row r="22" spans="1:90" s="10" customFormat="1">
      <c r="A22" s="116" t="s">
        <v>375</v>
      </c>
      <c r="B22" s="336">
        <v>284</v>
      </c>
      <c r="C22" s="115" t="s">
        <v>376</v>
      </c>
      <c r="D22" s="385">
        <v>1.0687883477197964</v>
      </c>
      <c r="E22" s="385">
        <v>0.77902585291054216</v>
      </c>
      <c r="F22" s="385">
        <v>1.371954914880763</v>
      </c>
      <c r="G22" s="385">
        <v>0.86019996339119231</v>
      </c>
      <c r="H22" s="385">
        <v>0.31453179352471633</v>
      </c>
      <c r="I22" s="334">
        <v>0.83445259729530141</v>
      </c>
      <c r="J22" s="385">
        <v>0.13165731755503726</v>
      </c>
      <c r="K22" s="385">
        <v>1.7086400922775213</v>
      </c>
      <c r="L22" s="118">
        <v>0.116764811</v>
      </c>
      <c r="M22" s="385">
        <v>26.574411413102229</v>
      </c>
      <c r="N22" s="385">
        <v>2.8557033798319789</v>
      </c>
      <c r="O22" s="385">
        <v>20.969897762124013</v>
      </c>
      <c r="P22" s="385">
        <v>12.85222514025407</v>
      </c>
      <c r="Q22" s="383" t="s">
        <v>211</v>
      </c>
      <c r="R22" s="383"/>
      <c r="S22" s="383"/>
      <c r="T22" s="11"/>
      <c r="U22" s="11"/>
      <c r="V22" s="11"/>
      <c r="W22" s="11"/>
      <c r="X22" s="11"/>
      <c r="Y22" s="11"/>
      <c r="Z22" s="11"/>
      <c r="AA22" s="516">
        <v>284</v>
      </c>
      <c r="AB22" s="385"/>
      <c r="AC22" s="385"/>
      <c r="AD22" s="385"/>
      <c r="AE22" s="385"/>
      <c r="AF22" s="385"/>
      <c r="AG22" s="334"/>
      <c r="AH22" s="385"/>
      <c r="AI22" s="385"/>
      <c r="AJ22" s="118"/>
      <c r="AK22" s="385"/>
      <c r="AL22" s="385"/>
      <c r="AM22" s="385"/>
      <c r="AN22" s="521"/>
      <c r="AO22" s="11"/>
      <c r="AP22" s="11"/>
      <c r="AQ22" s="515">
        <v>280</v>
      </c>
      <c r="AR22" s="385"/>
      <c r="AS22" s="387"/>
      <c r="AT22" s="385"/>
      <c r="AU22" s="385"/>
      <c r="AV22" s="385"/>
      <c r="AW22" s="334"/>
      <c r="AX22" s="385"/>
      <c r="AY22" s="385"/>
      <c r="AZ22" s="118"/>
      <c r="BA22" s="385"/>
      <c r="BB22" s="385"/>
      <c r="BC22" s="387"/>
      <c r="BD22" s="52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</row>
    <row r="23" spans="1:90" s="13" customFormat="1">
      <c r="A23" s="116" t="s">
        <v>383</v>
      </c>
      <c r="B23" s="336">
        <v>285</v>
      </c>
      <c r="C23" s="115" t="s">
        <v>384</v>
      </c>
      <c r="D23" s="385">
        <v>1.3083009566241102</v>
      </c>
      <c r="E23" s="385">
        <v>1.0999518600617568</v>
      </c>
      <c r="F23" s="385">
        <v>1.189416559148921</v>
      </c>
      <c r="G23" s="385">
        <v>1.0041148161111839</v>
      </c>
      <c r="H23" s="385">
        <v>0.25268546488595328</v>
      </c>
      <c r="I23" s="334">
        <v>0.35143942521540383</v>
      </c>
      <c r="J23" s="385">
        <v>0.28206914815401896</v>
      </c>
      <c r="K23" s="385">
        <v>1.8474433099702139</v>
      </c>
      <c r="L23" s="335">
        <v>5.1841230000000002E-2</v>
      </c>
      <c r="M23" s="385">
        <v>40.26480512153725</v>
      </c>
      <c r="N23" s="385">
        <v>9.8218475709137874</v>
      </c>
      <c r="O23" s="385">
        <v>33.618857261137755</v>
      </c>
      <c r="P23" s="385">
        <v>16.578040885418464</v>
      </c>
      <c r="Q23" s="11" t="s">
        <v>199</v>
      </c>
      <c r="R23" s="11">
        <v>1</v>
      </c>
      <c r="S23" s="11"/>
      <c r="T23" s="11"/>
      <c r="U23" s="11"/>
      <c r="V23" s="11"/>
      <c r="W23" s="11"/>
      <c r="X23" s="11"/>
      <c r="Y23" s="11"/>
      <c r="Z23" s="11"/>
      <c r="AA23" s="516">
        <v>285</v>
      </c>
      <c r="AB23" s="385"/>
      <c r="AC23" s="385"/>
      <c r="AD23" s="385"/>
      <c r="AE23" s="385"/>
      <c r="AF23" s="385"/>
      <c r="AG23" s="334"/>
      <c r="AH23" s="385"/>
      <c r="AI23" s="385"/>
      <c r="AJ23" s="335"/>
      <c r="AK23" s="385"/>
      <c r="AL23" s="385"/>
      <c r="AM23" s="385"/>
      <c r="AN23" s="521"/>
      <c r="AO23" s="11"/>
      <c r="AP23" s="11"/>
      <c r="AQ23" s="515">
        <v>281</v>
      </c>
      <c r="AR23" s="385"/>
      <c r="AS23" s="385"/>
      <c r="AT23" s="385"/>
      <c r="AU23" s="385"/>
      <c r="AV23" s="385"/>
      <c r="AW23" s="334"/>
      <c r="AX23" s="385"/>
      <c r="AY23" s="385"/>
      <c r="AZ23" s="118"/>
      <c r="BA23" s="385"/>
      <c r="BB23" s="385"/>
      <c r="BC23" s="385"/>
      <c r="BD23" s="52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</row>
    <row r="24" spans="1:90" s="13" customFormat="1">
      <c r="A24" s="121" t="s">
        <v>503</v>
      </c>
      <c r="B24" s="467">
        <v>286</v>
      </c>
      <c r="C24" s="113" t="s">
        <v>471</v>
      </c>
      <c r="D24" s="385">
        <v>1.7334171136110317</v>
      </c>
      <c r="E24" s="385">
        <v>1.0664027264860563</v>
      </c>
      <c r="F24" s="385">
        <v>1.6254807593402163</v>
      </c>
      <c r="G24" s="385">
        <v>0.61459561593532086</v>
      </c>
      <c r="H24" s="385">
        <v>0.42113821226429454</v>
      </c>
      <c r="I24" s="334">
        <v>0.72528445705759104</v>
      </c>
      <c r="J24" s="385">
        <v>0.1244503596606288</v>
      </c>
      <c r="K24" s="385">
        <v>1.0342495106401166</v>
      </c>
      <c r="L24" s="118">
        <v>0.240770446</v>
      </c>
      <c r="M24" s="385">
        <v>23.949591296286098</v>
      </c>
      <c r="N24" s="385">
        <v>4.2519814009763932</v>
      </c>
      <c r="O24" s="385">
        <v>45.134119608121139</v>
      </c>
      <c r="P24" s="385">
        <v>14.965609062403217</v>
      </c>
      <c r="Q24" s="604" t="s">
        <v>211</v>
      </c>
      <c r="R24" s="604"/>
      <c r="S24" s="604"/>
      <c r="T24" s="11"/>
      <c r="U24" s="11"/>
      <c r="V24" s="11"/>
      <c r="W24" s="11"/>
      <c r="X24" s="11"/>
      <c r="Y24" s="11"/>
      <c r="Z24" s="11"/>
      <c r="AA24" s="517">
        <v>286</v>
      </c>
      <c r="AB24" s="385"/>
      <c r="AC24" s="385"/>
      <c r="AD24" s="385"/>
      <c r="AE24" s="385"/>
      <c r="AF24" s="385"/>
      <c r="AG24" s="334"/>
      <c r="AH24" s="385"/>
      <c r="AI24" s="385"/>
      <c r="AJ24" s="118"/>
      <c r="AK24" s="385"/>
      <c r="AL24" s="385"/>
      <c r="AM24" s="385"/>
      <c r="AN24" s="521"/>
      <c r="AO24" s="11"/>
      <c r="AP24" s="11"/>
      <c r="AQ24" s="515">
        <v>282</v>
      </c>
      <c r="AR24" s="387"/>
      <c r="AS24" s="387"/>
      <c r="AT24" s="385"/>
      <c r="AU24" s="385"/>
      <c r="AV24" s="385"/>
      <c r="AW24" s="334"/>
      <c r="AX24" s="385"/>
      <c r="AY24" s="385"/>
      <c r="AZ24" s="118"/>
      <c r="BA24" s="385"/>
      <c r="BB24" s="385"/>
      <c r="BC24" s="385"/>
      <c r="BD24" s="52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</row>
    <row r="25" spans="1:90" s="13" customFormat="1" ht="15" customHeight="1">
      <c r="A25" s="116" t="s">
        <v>393</v>
      </c>
      <c r="B25" s="336">
        <v>288</v>
      </c>
      <c r="C25" s="115" t="s">
        <v>394</v>
      </c>
      <c r="D25" s="385">
        <v>0.66443302227704337</v>
      </c>
      <c r="E25" s="385">
        <v>0.69655797571362987</v>
      </c>
      <c r="F25" s="387">
        <v>0.95388043126823108</v>
      </c>
      <c r="G25" s="385">
        <v>1.0561978585501488</v>
      </c>
      <c r="H25" s="385">
        <v>0.21666873932394204</v>
      </c>
      <c r="I25" s="389">
        <v>0.10823396482762759</v>
      </c>
      <c r="J25" s="385">
        <v>0.21544251167378517</v>
      </c>
      <c r="K25" s="385">
        <v>1.9705658996178457</v>
      </c>
      <c r="L25" s="335">
        <v>6.7932694000000002E-2</v>
      </c>
      <c r="M25" s="386">
        <v>114.732775386193</v>
      </c>
      <c r="N25" s="385">
        <v>7.8222642250846626</v>
      </c>
      <c r="O25" s="385">
        <v>40.808110977614724</v>
      </c>
      <c r="P25" s="385">
        <v>7.9991929658586498</v>
      </c>
      <c r="Q25" s="11" t="s">
        <v>199</v>
      </c>
      <c r="R25" s="11">
        <v>3</v>
      </c>
      <c r="S25" s="11">
        <v>1</v>
      </c>
      <c r="T25" s="11"/>
      <c r="U25" s="11"/>
      <c r="V25" s="11"/>
      <c r="W25" s="11"/>
      <c r="X25" s="11"/>
      <c r="Y25" s="11"/>
      <c r="Z25" s="11"/>
      <c r="AA25" s="516">
        <v>288</v>
      </c>
      <c r="AB25" s="385"/>
      <c r="AC25" s="385"/>
      <c r="AD25" s="387"/>
      <c r="AE25" s="385"/>
      <c r="AF25" s="385"/>
      <c r="AG25" s="389"/>
      <c r="AH25" s="385"/>
      <c r="AI25" s="385"/>
      <c r="AJ25" s="335"/>
      <c r="AK25" s="386"/>
      <c r="AL25" s="385"/>
      <c r="AM25" s="385"/>
      <c r="AN25" s="521"/>
      <c r="AO25" s="11"/>
      <c r="AP25" s="11"/>
      <c r="AQ25" s="515">
        <v>283</v>
      </c>
      <c r="AR25" s="385"/>
      <c r="AS25" s="385"/>
      <c r="AT25" s="385"/>
      <c r="AU25" s="385"/>
      <c r="AV25" s="385"/>
      <c r="AW25" s="334"/>
      <c r="AX25" s="385"/>
      <c r="AY25" s="385"/>
      <c r="AZ25" s="118"/>
      <c r="BA25" s="385"/>
      <c r="BB25" s="385"/>
      <c r="BC25" s="385"/>
      <c r="BD25" s="52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</row>
    <row r="26" spans="1:90" s="13" customFormat="1">
      <c r="A26" s="116" t="s">
        <v>400</v>
      </c>
      <c r="B26" s="336">
        <v>289</v>
      </c>
      <c r="C26" s="115" t="s">
        <v>401</v>
      </c>
      <c r="D26" s="387">
        <v>0.38754494180676219</v>
      </c>
      <c r="E26" s="385">
        <v>0.94177780110780041</v>
      </c>
      <c r="F26" s="387">
        <v>0.4115035854008221</v>
      </c>
      <c r="G26" s="385">
        <v>0.77490178777799301</v>
      </c>
      <c r="H26" s="385">
        <v>0.44123134526383584</v>
      </c>
      <c r="I26" s="334">
        <v>0.91615503556490163</v>
      </c>
      <c r="J26" s="385">
        <v>0.14679342366277137</v>
      </c>
      <c r="K26" s="385">
        <v>0.92845671786415895</v>
      </c>
      <c r="L26" s="335">
        <v>1.0253082E-2</v>
      </c>
      <c r="M26" s="385">
        <v>22.07664063392216</v>
      </c>
      <c r="N26" s="385">
        <v>2.6542670195758582</v>
      </c>
      <c r="O26" s="387">
        <v>15.081742644128267</v>
      </c>
      <c r="P26" s="387">
        <v>5.4958783033694747</v>
      </c>
      <c r="Q26" s="11" t="s">
        <v>199</v>
      </c>
      <c r="R26" s="11">
        <v>5</v>
      </c>
      <c r="S26" s="11"/>
      <c r="T26" s="11"/>
      <c r="U26" s="11"/>
      <c r="V26" s="11"/>
      <c r="W26" s="11"/>
      <c r="X26" s="11"/>
      <c r="Y26" s="11"/>
      <c r="Z26" s="11"/>
      <c r="AA26" s="516">
        <v>289</v>
      </c>
      <c r="AB26" s="387"/>
      <c r="AC26" s="385"/>
      <c r="AD26" s="387"/>
      <c r="AE26" s="385"/>
      <c r="AF26" s="385"/>
      <c r="AG26" s="334"/>
      <c r="AH26" s="385"/>
      <c r="AI26" s="385"/>
      <c r="AJ26" s="335"/>
      <c r="AK26" s="385"/>
      <c r="AL26" s="385"/>
      <c r="AM26" s="387"/>
      <c r="AN26" s="523"/>
      <c r="AO26" s="11"/>
      <c r="AP26" s="11"/>
      <c r="AQ26" s="515">
        <v>300</v>
      </c>
      <c r="AR26" s="502"/>
      <c r="AS26" s="502"/>
      <c r="AT26" s="385"/>
      <c r="AU26" s="385"/>
      <c r="AV26" s="502"/>
      <c r="AW26" s="503"/>
      <c r="AX26" s="385"/>
      <c r="AY26" s="385"/>
      <c r="AZ26" s="118"/>
      <c r="BA26" s="385"/>
      <c r="BB26" s="385"/>
      <c r="BC26" s="385"/>
      <c r="BD26" s="52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</row>
    <row r="27" spans="1:90" s="13" customFormat="1">
      <c r="A27" s="119" t="s">
        <v>404</v>
      </c>
      <c r="B27" s="336">
        <v>290</v>
      </c>
      <c r="C27" s="115" t="s">
        <v>405</v>
      </c>
      <c r="D27" s="385">
        <v>1.4701249836912238</v>
      </c>
      <c r="E27" s="385">
        <v>0.75186294221335759</v>
      </c>
      <c r="F27" s="385">
        <v>1.9553098060178682</v>
      </c>
      <c r="G27" s="385">
        <v>0.69756740474667556</v>
      </c>
      <c r="H27" s="385">
        <v>0.42325585064714188</v>
      </c>
      <c r="I27" s="334">
        <v>0.69499615924788227</v>
      </c>
      <c r="J27" s="385">
        <v>0.17655785466067064</v>
      </c>
      <c r="K27" s="385">
        <v>2.4504505083517527</v>
      </c>
      <c r="L27" s="335">
        <v>3.8135796999999999E-2</v>
      </c>
      <c r="M27" s="385">
        <v>29.081533279541851</v>
      </c>
      <c r="N27" s="385">
        <v>8.3420063370280495</v>
      </c>
      <c r="O27" s="385">
        <v>27.737767293136319</v>
      </c>
      <c r="P27" s="385">
        <v>15.397185030864401</v>
      </c>
      <c r="Q27" s="11" t="s">
        <v>199</v>
      </c>
      <c r="R27" s="11">
        <v>1</v>
      </c>
      <c r="S27" s="11"/>
      <c r="T27" s="11"/>
      <c r="U27" s="11"/>
      <c r="V27" s="11"/>
      <c r="W27" s="11"/>
      <c r="X27" s="11"/>
      <c r="Y27" s="11"/>
      <c r="Z27" s="11"/>
      <c r="AA27" s="518">
        <v>290</v>
      </c>
      <c r="AB27" s="385"/>
      <c r="AC27" s="385"/>
      <c r="AD27" s="385"/>
      <c r="AE27" s="385"/>
      <c r="AF27" s="385"/>
      <c r="AG27" s="334"/>
      <c r="AH27" s="385"/>
      <c r="AI27" s="385"/>
      <c r="AJ27" s="335"/>
      <c r="AK27" s="385"/>
      <c r="AL27" s="385"/>
      <c r="AM27" s="385"/>
      <c r="AN27" s="521"/>
      <c r="AO27" s="11"/>
      <c r="AP27" s="11"/>
      <c r="AQ27" s="728">
        <v>259</v>
      </c>
      <c r="AR27" s="385"/>
      <c r="AS27" s="385"/>
      <c r="AT27" s="386"/>
      <c r="AU27" s="385"/>
      <c r="AV27" s="385"/>
      <c r="AW27" s="334"/>
      <c r="AX27" s="385"/>
      <c r="AY27" s="385"/>
      <c r="AZ27" s="335"/>
      <c r="BA27" s="385"/>
      <c r="BB27" s="385"/>
      <c r="BC27" s="385"/>
      <c r="BD27" s="729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</row>
    <row r="28" spans="1:90" s="10" customFormat="1">
      <c r="A28" s="114" t="s">
        <v>314</v>
      </c>
      <c r="B28" s="469">
        <v>291</v>
      </c>
      <c r="C28" s="113" t="s">
        <v>315</v>
      </c>
      <c r="D28" s="386">
        <v>3.9880657682184566</v>
      </c>
      <c r="E28" s="386">
        <v>2.022437896308817</v>
      </c>
      <c r="F28" s="385">
        <v>1.9719101266333752</v>
      </c>
      <c r="G28" s="387">
        <v>0.44148731288698745</v>
      </c>
      <c r="H28" s="385">
        <v>0.28885211097747515</v>
      </c>
      <c r="I28" s="334">
        <v>0.31753514220966428</v>
      </c>
      <c r="J28" s="385">
        <v>0.14740347155207398</v>
      </c>
      <c r="K28" s="386">
        <v>4.2541358102763498</v>
      </c>
      <c r="L28" s="335">
        <v>2.4736144000000002E-2</v>
      </c>
      <c r="M28" s="385">
        <v>18.317726957406034</v>
      </c>
      <c r="N28" s="385">
        <v>2.0011281105996863</v>
      </c>
      <c r="O28" s="385">
        <v>19.50710883647659</v>
      </c>
      <c r="P28" s="387">
        <v>5.830760764548919</v>
      </c>
      <c r="Q28" s="11" t="s">
        <v>199</v>
      </c>
      <c r="R28" s="11">
        <v>3</v>
      </c>
      <c r="S28" s="11">
        <v>3</v>
      </c>
      <c r="T28" s="11"/>
      <c r="U28" s="11"/>
      <c r="V28" s="11"/>
      <c r="W28" s="11"/>
      <c r="X28" s="11"/>
      <c r="Y28" s="11"/>
      <c r="Z28" s="11"/>
      <c r="AA28" s="514">
        <v>291</v>
      </c>
      <c r="AB28" s="386"/>
      <c r="AC28" s="386"/>
      <c r="AD28" s="385"/>
      <c r="AE28" s="387"/>
      <c r="AF28" s="385"/>
      <c r="AG28" s="334"/>
      <c r="AH28" s="385"/>
      <c r="AI28" s="386"/>
      <c r="AJ28" s="335"/>
      <c r="AK28" s="385"/>
      <c r="AL28" s="385"/>
      <c r="AM28" s="385"/>
      <c r="AN28" s="523"/>
      <c r="AO28" s="11"/>
      <c r="AP28" s="11"/>
      <c r="AQ28" s="516">
        <v>284</v>
      </c>
      <c r="AR28" s="385"/>
      <c r="AS28" s="385"/>
      <c r="AT28" s="385"/>
      <c r="AU28" s="385"/>
      <c r="AV28" s="385"/>
      <c r="AW28" s="334"/>
      <c r="AX28" s="385"/>
      <c r="AY28" s="385"/>
      <c r="AZ28" s="118"/>
      <c r="BA28" s="385"/>
      <c r="BB28" s="385"/>
      <c r="BC28" s="385"/>
      <c r="BD28" s="52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</row>
    <row r="29" spans="1:90" s="10" customFormat="1">
      <c r="A29" s="114" t="s">
        <v>318</v>
      </c>
      <c r="B29" s="468">
        <v>292</v>
      </c>
      <c r="C29" s="113" t="s">
        <v>319</v>
      </c>
      <c r="D29" s="385">
        <v>0.81270106853818402</v>
      </c>
      <c r="E29" s="385">
        <v>0.94427582057090287</v>
      </c>
      <c r="F29" s="387">
        <v>0.86066067862124263</v>
      </c>
      <c r="G29" s="385">
        <v>0.63639807132010606</v>
      </c>
      <c r="H29" s="385">
        <v>0.33274474583766367</v>
      </c>
      <c r="I29" s="334">
        <v>0.78409147948814839</v>
      </c>
      <c r="J29" s="385">
        <v>0.12110498242400831</v>
      </c>
      <c r="K29" s="385">
        <v>0.91576147595943636</v>
      </c>
      <c r="L29" s="335">
        <v>5.3787939999999999E-2</v>
      </c>
      <c r="M29" s="385">
        <v>12.635344728600224</v>
      </c>
      <c r="N29" s="385">
        <v>5.7561577934318704</v>
      </c>
      <c r="O29" s="385">
        <v>47.821103587278849</v>
      </c>
      <c r="P29" s="385">
        <v>12.977019975530133</v>
      </c>
      <c r="Q29" s="11" t="s">
        <v>199</v>
      </c>
      <c r="R29" s="11">
        <v>2</v>
      </c>
      <c r="S29" s="11"/>
      <c r="T29" s="11"/>
      <c r="U29" s="11"/>
      <c r="V29" s="11"/>
      <c r="W29" s="11"/>
      <c r="X29" s="11"/>
      <c r="Y29" s="11"/>
      <c r="Z29" s="11"/>
      <c r="AA29" s="514">
        <v>292</v>
      </c>
      <c r="AB29" s="385"/>
      <c r="AC29" s="385"/>
      <c r="AD29" s="387"/>
      <c r="AE29" s="385"/>
      <c r="AF29" s="385"/>
      <c r="AG29" s="334"/>
      <c r="AH29" s="385"/>
      <c r="AI29" s="385"/>
      <c r="AJ29" s="335"/>
      <c r="AK29" s="385"/>
      <c r="AL29" s="385"/>
      <c r="AM29" s="385"/>
      <c r="AN29" s="521"/>
      <c r="AO29" s="11"/>
      <c r="AP29" s="11"/>
      <c r="AQ29" s="516">
        <v>285</v>
      </c>
      <c r="AR29" s="385"/>
      <c r="AS29" s="385"/>
      <c r="AT29" s="385"/>
      <c r="AU29" s="385"/>
      <c r="AV29" s="385"/>
      <c r="AW29" s="334"/>
      <c r="AX29" s="385"/>
      <c r="AY29" s="385"/>
      <c r="AZ29" s="335"/>
      <c r="BA29" s="385"/>
      <c r="BB29" s="385"/>
      <c r="BC29" s="385"/>
      <c r="BD29" s="52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</row>
    <row r="30" spans="1:90" s="10" customFormat="1">
      <c r="A30" s="114" t="s">
        <v>321</v>
      </c>
      <c r="B30" s="468">
        <v>293</v>
      </c>
      <c r="C30" s="113" t="s">
        <v>322</v>
      </c>
      <c r="D30" s="385">
        <v>1.6869813729036547</v>
      </c>
      <c r="E30" s="385">
        <v>1.4856375288499806</v>
      </c>
      <c r="F30" s="385">
        <v>1.1355268967993373</v>
      </c>
      <c r="G30" s="385">
        <v>0.81418380115009426</v>
      </c>
      <c r="H30" s="385">
        <v>0.31844391983059556</v>
      </c>
      <c r="I30" s="334">
        <v>0.38334179976119076</v>
      </c>
      <c r="J30" s="385">
        <v>0.11899931131827486</v>
      </c>
      <c r="K30" s="385">
        <v>1.0969353430123772</v>
      </c>
      <c r="L30" s="335">
        <v>6.1334646E-2</v>
      </c>
      <c r="M30" s="385">
        <v>46.073680750962382</v>
      </c>
      <c r="N30" s="385">
        <v>3.6608472237954297</v>
      </c>
      <c r="O30" s="385">
        <v>23.554141619809794</v>
      </c>
      <c r="P30" s="387">
        <v>7.0912868858007787</v>
      </c>
      <c r="Q30" s="11" t="s">
        <v>199</v>
      </c>
      <c r="R30" s="11">
        <v>2</v>
      </c>
      <c r="S30" s="11"/>
      <c r="T30" s="11"/>
      <c r="U30" s="11"/>
      <c r="V30" s="11"/>
      <c r="W30" s="11"/>
      <c r="X30" s="11"/>
      <c r="Y30" s="11"/>
      <c r="Z30" s="11"/>
      <c r="AA30" s="514">
        <v>293</v>
      </c>
      <c r="AB30" s="385"/>
      <c r="AC30" s="385"/>
      <c r="AD30" s="385"/>
      <c r="AE30" s="385"/>
      <c r="AF30" s="385"/>
      <c r="AG30" s="334"/>
      <c r="AH30" s="385"/>
      <c r="AI30" s="385"/>
      <c r="AJ30" s="335"/>
      <c r="AK30" s="385"/>
      <c r="AL30" s="385"/>
      <c r="AM30" s="385"/>
      <c r="AN30" s="523"/>
      <c r="AO30" s="11"/>
      <c r="AP30" s="11"/>
      <c r="AQ30" s="516">
        <v>288</v>
      </c>
      <c r="AR30" s="385"/>
      <c r="AS30" s="385"/>
      <c r="AT30" s="387"/>
      <c r="AU30" s="385"/>
      <c r="AV30" s="385"/>
      <c r="AW30" s="389"/>
      <c r="AX30" s="385"/>
      <c r="AY30" s="385"/>
      <c r="AZ30" s="335"/>
      <c r="BA30" s="386"/>
      <c r="BB30" s="385"/>
      <c r="BC30" s="385"/>
      <c r="BD30" s="52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</row>
    <row r="31" spans="1:90" s="10" customFormat="1">
      <c r="A31" s="121" t="s">
        <v>326</v>
      </c>
      <c r="B31" s="468">
        <v>294</v>
      </c>
      <c r="C31" s="113" t="s">
        <v>327</v>
      </c>
      <c r="D31" s="386">
        <v>4.5288864672756137</v>
      </c>
      <c r="E31" s="386">
        <v>2.1269068354580378</v>
      </c>
      <c r="F31" s="386">
        <v>2.1293299695942252</v>
      </c>
      <c r="G31" s="387">
        <v>0.44169435013853442</v>
      </c>
      <c r="H31" s="385">
        <v>0.49234193251796277</v>
      </c>
      <c r="I31" s="334">
        <v>0.59956635739010689</v>
      </c>
      <c r="J31" s="385">
        <v>0.131509731680996</v>
      </c>
      <c r="K31" s="385">
        <v>1.0299823406752502</v>
      </c>
      <c r="L31" s="335">
        <v>3.9726772E-2</v>
      </c>
      <c r="M31" s="385">
        <v>27.977964986090754</v>
      </c>
      <c r="N31" s="385">
        <v>5.7729259436348919</v>
      </c>
      <c r="O31" s="385">
        <v>55.603852801600617</v>
      </c>
      <c r="P31" s="385">
        <v>10.070942468357984</v>
      </c>
      <c r="Q31" s="11" t="s">
        <v>199</v>
      </c>
      <c r="R31" s="11">
        <v>2</v>
      </c>
      <c r="S31" s="11">
        <v>3</v>
      </c>
      <c r="T31" s="11"/>
      <c r="U31" s="11"/>
      <c r="V31" s="11"/>
      <c r="W31" s="11"/>
      <c r="X31" s="11"/>
      <c r="Y31" s="11"/>
      <c r="Z31" s="11"/>
      <c r="AA31" s="517">
        <v>294</v>
      </c>
      <c r="AB31" s="386"/>
      <c r="AC31" s="386"/>
      <c r="AD31" s="386"/>
      <c r="AE31" s="387"/>
      <c r="AF31" s="385"/>
      <c r="AG31" s="334"/>
      <c r="AH31" s="385"/>
      <c r="AI31" s="385"/>
      <c r="AJ31" s="335"/>
      <c r="AK31" s="385"/>
      <c r="AL31" s="385"/>
      <c r="AM31" s="385"/>
      <c r="AN31" s="521"/>
      <c r="AO31" s="11"/>
      <c r="AP31" s="11"/>
      <c r="AQ31" s="516">
        <v>289</v>
      </c>
      <c r="AR31" s="387"/>
      <c r="AS31" s="385"/>
      <c r="AT31" s="387"/>
      <c r="AU31" s="385"/>
      <c r="AV31" s="385"/>
      <c r="AW31" s="334"/>
      <c r="AX31" s="385"/>
      <c r="AY31" s="385"/>
      <c r="AZ31" s="335"/>
      <c r="BA31" s="385"/>
      <c r="BB31" s="385"/>
      <c r="BC31" s="387"/>
      <c r="BD31" s="523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</row>
    <row r="32" spans="1:90" s="14" customFormat="1">
      <c r="A32" s="122" t="s">
        <v>370</v>
      </c>
      <c r="B32" s="353">
        <v>300</v>
      </c>
      <c r="C32" s="123" t="s">
        <v>504</v>
      </c>
      <c r="D32" s="502">
        <v>0.35865723886753076</v>
      </c>
      <c r="E32" s="502">
        <v>0.31901176303602813</v>
      </c>
      <c r="F32" s="385">
        <v>1.12427590586064</v>
      </c>
      <c r="G32" s="385">
        <v>0.60125802790202121</v>
      </c>
      <c r="H32" s="502">
        <v>8.6328449795694207E-2</v>
      </c>
      <c r="I32" s="503">
        <v>7.8405132001318115E-2</v>
      </c>
      <c r="J32" s="385">
        <v>9.0091794523286473E-2</v>
      </c>
      <c r="K32" s="385">
        <v>1.1940228208589632</v>
      </c>
      <c r="L32" s="118"/>
      <c r="M32" s="385">
        <v>8.2334305647297903</v>
      </c>
      <c r="N32" s="385">
        <v>4.1410878751384006</v>
      </c>
      <c r="O32" s="385">
        <v>23.928873605008789</v>
      </c>
      <c r="P32" s="385">
        <v>7.6998168368079964</v>
      </c>
      <c r="Q32" s="11" t="s">
        <v>199</v>
      </c>
      <c r="R32" s="11">
        <v>4</v>
      </c>
      <c r="S32" s="11"/>
      <c r="T32" s="11"/>
      <c r="U32" s="11"/>
      <c r="V32" s="11"/>
      <c r="W32" s="11"/>
      <c r="X32" s="11"/>
      <c r="Y32" s="11"/>
      <c r="Z32" s="11"/>
      <c r="AA32" s="519">
        <v>300</v>
      </c>
      <c r="AB32" s="524"/>
      <c r="AC32" s="524"/>
      <c r="AD32" s="525"/>
      <c r="AE32" s="525"/>
      <c r="AF32" s="524"/>
      <c r="AG32" s="526"/>
      <c r="AH32" s="525"/>
      <c r="AI32" s="525"/>
      <c r="AJ32" s="527"/>
      <c r="AK32" s="525"/>
      <c r="AL32" s="525"/>
      <c r="AM32" s="525"/>
      <c r="AN32" s="528"/>
      <c r="AO32" s="11"/>
      <c r="AP32" s="11"/>
      <c r="AQ32" s="730">
        <v>290</v>
      </c>
      <c r="AR32" s="731"/>
      <c r="AS32" s="731"/>
      <c r="AT32" s="731"/>
      <c r="AU32" s="731"/>
      <c r="AV32" s="731"/>
      <c r="AW32" s="732"/>
      <c r="AX32" s="731"/>
      <c r="AY32" s="731"/>
      <c r="AZ32" s="733"/>
      <c r="BA32" s="731"/>
      <c r="BB32" s="731"/>
      <c r="BC32" s="731"/>
      <c r="BD32" s="734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</row>
    <row r="33" spans="1:90">
      <c r="C33" s="117" t="s">
        <v>505</v>
      </c>
      <c r="D33" s="501">
        <f>AVERAGE(D2:D32)</f>
        <v>1.3308835089865199</v>
      </c>
      <c r="E33" s="501">
        <f t="shared" ref="E33:P33" si="0">AVERAGE(E2:E32)</f>
        <v>0.92942777362356077</v>
      </c>
      <c r="F33" s="501">
        <f t="shared" si="0"/>
        <v>1.3923935178482347</v>
      </c>
      <c r="G33" s="501">
        <f t="shared" si="0"/>
        <v>0.70665359589192223</v>
      </c>
      <c r="H33" s="501">
        <f t="shared" si="0"/>
        <v>0.34619744474522601</v>
      </c>
      <c r="I33" s="501">
        <f t="shared" si="0"/>
        <v>0.64718481194627053</v>
      </c>
      <c r="J33" s="501">
        <f t="shared" si="0"/>
        <v>0.12417945010346514</v>
      </c>
      <c r="K33" s="501">
        <f t="shared" si="0"/>
        <v>1.6811020833005628</v>
      </c>
      <c r="L33" s="501">
        <f t="shared" si="0"/>
        <v>9.6262936933333335E-2</v>
      </c>
      <c r="M33" s="501">
        <f t="shared" si="0"/>
        <v>29.978964113550454</v>
      </c>
      <c r="N33" s="501">
        <f t="shared" si="0"/>
        <v>5.0894873885331346</v>
      </c>
      <c r="O33" s="501">
        <f t="shared" si="0"/>
        <v>33.440360143272322</v>
      </c>
      <c r="P33" s="501">
        <f t="shared" si="0"/>
        <v>13.554903691148665</v>
      </c>
    </row>
    <row r="34" spans="1:90">
      <c r="C34" s="117" t="s">
        <v>506</v>
      </c>
      <c r="D34" s="51">
        <f>STDEV(D2:D32)</f>
        <v>0.96262899547045067</v>
      </c>
      <c r="E34" s="51">
        <f t="shared" ref="E34:P34" si="1">STDEV(E2:E32)</f>
        <v>0.4639044388769813</v>
      </c>
      <c r="F34" s="51">
        <f t="shared" si="1"/>
        <v>0.40346592278616983</v>
      </c>
      <c r="G34" s="51">
        <f t="shared" si="1"/>
        <v>0.17001681636208085</v>
      </c>
      <c r="H34" s="51">
        <f t="shared" si="1"/>
        <v>0.16032961572945645</v>
      </c>
      <c r="I34" s="51">
        <f t="shared" si="1"/>
        <v>0.33919793742273174</v>
      </c>
      <c r="J34" s="51">
        <f t="shared" si="1"/>
        <v>4.0336154386491067E-2</v>
      </c>
      <c r="K34" s="51">
        <f t="shared" si="1"/>
        <v>0.68285226009635025</v>
      </c>
      <c r="L34" s="51">
        <f t="shared" si="1"/>
        <v>5.981916333345421E-2</v>
      </c>
      <c r="M34" s="51">
        <f t="shared" si="1"/>
        <v>23.646632286328764</v>
      </c>
      <c r="N34" s="51">
        <f t="shared" si="1"/>
        <v>2.0468387446828125</v>
      </c>
      <c r="O34" s="51">
        <f t="shared" si="1"/>
        <v>12.434135994990317</v>
      </c>
      <c r="P34" s="51">
        <f t="shared" si="1"/>
        <v>4.4676414561455235</v>
      </c>
    </row>
    <row r="35" spans="1:90">
      <c r="C35" s="117" t="s">
        <v>507</v>
      </c>
      <c r="D35" s="51">
        <f>(D34/D33)*100</f>
        <v>72.330071638163247</v>
      </c>
      <c r="E35" s="51">
        <f t="shared" ref="E35:P35" si="2">(E34/E33)*100</f>
        <v>49.912909000809897</v>
      </c>
      <c r="F35" s="51">
        <f t="shared" si="2"/>
        <v>28.976429264743675</v>
      </c>
      <c r="G35" s="51">
        <f t="shared" si="2"/>
        <v>24.059428459780136</v>
      </c>
      <c r="H35" s="51">
        <f t="shared" si="2"/>
        <v>46.311611527764562</v>
      </c>
      <c r="I35" s="51">
        <f t="shared" si="2"/>
        <v>52.41129444967445</v>
      </c>
      <c r="J35" s="51">
        <f t="shared" si="2"/>
        <v>32.482149303192571</v>
      </c>
      <c r="K35" s="51">
        <f t="shared" si="2"/>
        <v>40.619321508167076</v>
      </c>
      <c r="L35" s="51">
        <f t="shared" si="2"/>
        <v>62.141427676242444</v>
      </c>
      <c r="M35" s="51">
        <f t="shared" si="2"/>
        <v>78.877416166759801</v>
      </c>
      <c r="N35" s="51">
        <f t="shared" si="2"/>
        <v>40.216992172815694</v>
      </c>
      <c r="O35" s="51">
        <f t="shared" si="2"/>
        <v>37.1830205826652</v>
      </c>
      <c r="P35" s="51">
        <f t="shared" si="2"/>
        <v>32.959595714891634</v>
      </c>
    </row>
    <row r="37" spans="1:90" s="382" customFormat="1">
      <c r="A37" s="11"/>
      <c r="B37" s="11"/>
      <c r="C37" s="51" t="s">
        <v>508</v>
      </c>
      <c r="D37" s="375" t="s">
        <v>474</v>
      </c>
      <c r="E37" s="375" t="s">
        <v>475</v>
      </c>
      <c r="F37" s="375" t="s">
        <v>459</v>
      </c>
      <c r="G37" s="375" t="s">
        <v>476</v>
      </c>
      <c r="H37" s="375" t="s">
        <v>477</v>
      </c>
      <c r="I37" s="375" t="s">
        <v>478</v>
      </c>
      <c r="J37" s="375" t="s">
        <v>479</v>
      </c>
      <c r="K37" s="375" t="s">
        <v>480</v>
      </c>
      <c r="L37" s="375" t="s">
        <v>456</v>
      </c>
      <c r="M37" s="375" t="s">
        <v>481</v>
      </c>
      <c r="N37" s="375" t="s">
        <v>482</v>
      </c>
      <c r="O37" s="375" t="s">
        <v>483</v>
      </c>
      <c r="P37" s="375" t="s">
        <v>484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512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</row>
    <row r="38" spans="1:90">
      <c r="B38" s="251" t="s">
        <v>268</v>
      </c>
      <c r="C38" s="251" t="s">
        <v>440</v>
      </c>
      <c r="D38" s="470">
        <f>MEDIAN(D3:D8,D24)</f>
        <v>1.3873999073791665</v>
      </c>
      <c r="E38" s="470">
        <f t="shared" ref="E38:P38" si="3">MEDIAN(E3:E8,E24)</f>
        <v>0.99013355527395108</v>
      </c>
      <c r="F38" s="470">
        <f t="shared" si="3"/>
        <v>1.4645870464526718</v>
      </c>
      <c r="G38" s="470">
        <f t="shared" si="3"/>
        <v>0.67253661730660763</v>
      </c>
      <c r="H38" s="470">
        <f t="shared" si="3"/>
        <v>0.41154044214042179</v>
      </c>
      <c r="I38" s="470">
        <f t="shared" si="3"/>
        <v>0.72528445705759104</v>
      </c>
      <c r="J38" s="470">
        <f t="shared" si="3"/>
        <v>0.11444619587536807</v>
      </c>
      <c r="K38" s="470">
        <f t="shared" si="3"/>
        <v>1.5436055336455505</v>
      </c>
      <c r="L38" s="470">
        <f t="shared" si="3"/>
        <v>0.106484196</v>
      </c>
      <c r="M38" s="470">
        <f t="shared" si="3"/>
        <v>23.949591296286098</v>
      </c>
      <c r="N38" s="470">
        <f t="shared" si="3"/>
        <v>4.465331971397422</v>
      </c>
      <c r="O38" s="470">
        <f t="shared" si="3"/>
        <v>45.134119608121139</v>
      </c>
      <c r="P38" s="470">
        <f t="shared" si="3"/>
        <v>16.238714684077465</v>
      </c>
    </row>
    <row r="39" spans="1:90">
      <c r="B39" s="251"/>
      <c r="C39" s="251" t="s">
        <v>258</v>
      </c>
      <c r="D39" s="470">
        <f>MEDIAN(D9:D11,D29:D31)</f>
        <v>1.3665370979646863</v>
      </c>
      <c r="E39" s="470">
        <f t="shared" ref="E39:P39" si="4">MEDIAN(E9:E11,E29:E31)</f>
        <v>1.0259919202935508</v>
      </c>
      <c r="F39" s="470">
        <f t="shared" si="4"/>
        <v>1.3314489888584329</v>
      </c>
      <c r="G39" s="470">
        <f t="shared" si="4"/>
        <v>0.61165039892919904</v>
      </c>
      <c r="H39" s="470">
        <f t="shared" si="4"/>
        <v>0.41254333917781322</v>
      </c>
      <c r="I39" s="470">
        <f t="shared" si="4"/>
        <v>0.49145407857564882</v>
      </c>
      <c r="J39" s="470">
        <f t="shared" si="4"/>
        <v>0.12005214687114159</v>
      </c>
      <c r="K39" s="470">
        <f t="shared" si="4"/>
        <v>1.1680416560674378</v>
      </c>
      <c r="L39" s="470">
        <f t="shared" si="4"/>
        <v>6.2435964499999996E-2</v>
      </c>
      <c r="M39" s="470">
        <f t="shared" si="4"/>
        <v>21.927692834297353</v>
      </c>
      <c r="N39" s="470">
        <f t="shared" si="4"/>
        <v>5.2279998469705582</v>
      </c>
      <c r="O39" s="470">
        <f t="shared" si="4"/>
        <v>39.921832369182837</v>
      </c>
      <c r="P39" s="470">
        <f t="shared" si="4"/>
        <v>11.744403601497325</v>
      </c>
    </row>
    <row r="40" spans="1:90">
      <c r="B40" s="251"/>
      <c r="C40" s="251" t="s">
        <v>509</v>
      </c>
      <c r="D40" s="470">
        <f>MEDIAN(D12:D16,D28)</f>
        <v>1.7878438811951898</v>
      </c>
      <c r="E40" s="470">
        <f t="shared" ref="E40:P40" si="5">MEDIAN(E12:E16,E28)</f>
        <v>1.2732235782176982</v>
      </c>
      <c r="F40" s="470">
        <f t="shared" si="5"/>
        <v>1.5343610668740968</v>
      </c>
      <c r="G40" s="470">
        <f t="shared" si="5"/>
        <v>0.65689331464713463</v>
      </c>
      <c r="H40" s="470">
        <f t="shared" si="5"/>
        <v>0.3484866194692996</v>
      </c>
      <c r="I40" s="470">
        <f t="shared" si="5"/>
        <v>0.61472980985033565</v>
      </c>
      <c r="J40" s="470">
        <f t="shared" si="5"/>
        <v>0.12738218509488433</v>
      </c>
      <c r="K40" s="470">
        <f t="shared" si="5"/>
        <v>2.0754180999151228</v>
      </c>
      <c r="L40" s="470">
        <f t="shared" si="5"/>
        <v>8.7836096500000002E-2</v>
      </c>
      <c r="M40" s="470">
        <f t="shared" si="5"/>
        <v>30.346005323368324</v>
      </c>
      <c r="N40" s="470">
        <f t="shared" si="5"/>
        <v>3.1720629019855178</v>
      </c>
      <c r="O40" s="470">
        <f t="shared" si="5"/>
        <v>32.674331686060633</v>
      </c>
      <c r="P40" s="470">
        <f t="shared" si="5"/>
        <v>11.253672735040531</v>
      </c>
    </row>
    <row r="41" spans="1:90" ht="15" customHeight="1">
      <c r="B41" s="251"/>
      <c r="C41" s="251" t="s">
        <v>2</v>
      </c>
      <c r="D41" s="470">
        <f>MEDIAN(D17:D21,D32)</f>
        <v>0.44676063583389447</v>
      </c>
      <c r="E41" s="470">
        <f t="shared" ref="E41:P41" si="6">MEDIAN(E17:E21,E32)</f>
        <v>0.32723545565423251</v>
      </c>
      <c r="F41" s="470">
        <f t="shared" si="6"/>
        <v>1.352190594561288</v>
      </c>
      <c r="G41" s="470">
        <f t="shared" si="6"/>
        <v>0.6130774717109182</v>
      </c>
      <c r="H41" s="470">
        <f t="shared" si="6"/>
        <v>0.19697359148004126</v>
      </c>
      <c r="I41" s="470">
        <f t="shared" si="6"/>
        <v>0.70240571831922649</v>
      </c>
      <c r="J41" s="470">
        <f t="shared" si="6"/>
        <v>9.265992897699718E-2</v>
      </c>
      <c r="K41" s="470">
        <f t="shared" si="6"/>
        <v>1.43282707610737</v>
      </c>
      <c r="L41" s="470">
        <f t="shared" si="6"/>
        <v>0.108114896</v>
      </c>
      <c r="M41" s="470">
        <f t="shared" si="6"/>
        <v>15.292840242636021</v>
      </c>
      <c r="N41" s="470">
        <f t="shared" si="6"/>
        <v>5.5401527932427825</v>
      </c>
      <c r="O41" s="470">
        <f t="shared" si="6"/>
        <v>25.284348302495474</v>
      </c>
      <c r="P41" s="470">
        <f t="shared" si="6"/>
        <v>17.177365832174715</v>
      </c>
    </row>
    <row r="42" spans="1:90">
      <c r="B42" s="251" t="s">
        <v>510</v>
      </c>
      <c r="C42" s="251" t="s">
        <v>510</v>
      </c>
      <c r="D42" s="470">
        <f>MEDIAN(D25:D27,D22,D23,D2)</f>
        <v>1.1340822205769467</v>
      </c>
      <c r="E42" s="470">
        <f t="shared" ref="E42:P42" si="7">MEDIAN(E25:E27,E22,E23,E2)</f>
        <v>0.76544439756194982</v>
      </c>
      <c r="F42" s="470">
        <f t="shared" si="7"/>
        <v>1.2806857370148421</v>
      </c>
      <c r="G42" s="470">
        <f t="shared" si="7"/>
        <v>0.93215738975118811</v>
      </c>
      <c r="H42" s="470">
        <f t="shared" si="7"/>
        <v>0.31493282088953478</v>
      </c>
      <c r="I42" s="470">
        <f t="shared" si="7"/>
        <v>0.62398025284647307</v>
      </c>
      <c r="J42" s="470">
        <f t="shared" si="7"/>
        <v>0.16167563916172101</v>
      </c>
      <c r="K42" s="470">
        <f t="shared" si="7"/>
        <v>1.9090046047940299</v>
      </c>
      <c r="L42" s="470">
        <f t="shared" si="7"/>
        <v>4.4988513500000001E-2</v>
      </c>
      <c r="M42" s="470">
        <f t="shared" si="7"/>
        <v>27.827972346322042</v>
      </c>
      <c r="N42" s="470">
        <f t="shared" si="7"/>
        <v>6.7180056307961875</v>
      </c>
      <c r="O42" s="470">
        <f t="shared" si="7"/>
        <v>28.57708826605591</v>
      </c>
      <c r="P42" s="470">
        <f t="shared" si="7"/>
        <v>14.124705085559235</v>
      </c>
    </row>
    <row r="44" spans="1:90">
      <c r="C44" s="584" t="s">
        <v>511</v>
      </c>
      <c r="D44" s="375" t="s">
        <v>474</v>
      </c>
      <c r="E44" s="375" t="s">
        <v>475</v>
      </c>
      <c r="F44" s="375" t="s">
        <v>459</v>
      </c>
      <c r="G44" s="375" t="s">
        <v>476</v>
      </c>
      <c r="H44" s="375" t="s">
        <v>477</v>
      </c>
      <c r="I44" s="375" t="s">
        <v>478</v>
      </c>
      <c r="J44" s="375" t="s">
        <v>479</v>
      </c>
      <c r="K44" s="375" t="s">
        <v>480</v>
      </c>
      <c r="L44" s="375" t="s">
        <v>456</v>
      </c>
      <c r="M44" s="375" t="s">
        <v>481</v>
      </c>
      <c r="N44" s="375" t="s">
        <v>482</v>
      </c>
      <c r="O44" s="375" t="s">
        <v>483</v>
      </c>
      <c r="P44" s="375" t="s">
        <v>484</v>
      </c>
    </row>
    <row r="45" spans="1:90">
      <c r="B45" s="251" t="s">
        <v>268</v>
      </c>
      <c r="C45" s="251" t="s">
        <v>440</v>
      </c>
      <c r="D45" s="470">
        <f>AVERAGE(D3:D8,D24)</f>
        <v>1.343585720551562</v>
      </c>
      <c r="E45" s="470">
        <f>AVERAGE(E3:E8,E24)</f>
        <v>1.0034795776621146</v>
      </c>
      <c r="F45" s="470">
        <f t="shared" ref="F45:M45" si="8">AVERAGE(F3:F8,F24)</f>
        <v>1.3314937854545164</v>
      </c>
      <c r="G45" s="470">
        <f t="shared" si="8"/>
        <v>0.66011006636593039</v>
      </c>
      <c r="H45" s="470">
        <f t="shared" si="8"/>
        <v>0.39341081059528288</v>
      </c>
      <c r="I45" s="470">
        <f t="shared" si="8"/>
        <v>0.76170060139260498</v>
      </c>
      <c r="J45" s="470">
        <f t="shared" si="8"/>
        <v>0.11090758208287546</v>
      </c>
      <c r="K45" s="470">
        <f t="shared" si="8"/>
        <v>1.5037410014358989</v>
      </c>
      <c r="L45" s="470">
        <f t="shared" si="8"/>
        <v>0.12120136214285714</v>
      </c>
      <c r="M45" s="470">
        <f t="shared" si="8"/>
        <v>25.376330193667663</v>
      </c>
      <c r="N45" s="470">
        <f>AVERAGE(N3:N8,N24)</f>
        <v>5.3519520652000496</v>
      </c>
      <c r="O45" s="470">
        <f>AVERAGE(O3:O8,O24)</f>
        <v>40.96730095653281</v>
      </c>
      <c r="P45" s="470">
        <f t="shared" ref="P45" si="9">AVERAGE(P3:P8,P24)</f>
        <v>17.12526980772121</v>
      </c>
    </row>
    <row r="46" spans="1:90">
      <c r="B46" s="251"/>
      <c r="C46" s="251" t="s">
        <v>258</v>
      </c>
      <c r="D46" s="470">
        <f>AVERAGE(D9:D11,D30:D31,D29)</f>
        <v>1.82911106218744</v>
      </c>
      <c r="E46" s="470">
        <f>AVERAGE(E9:E11,E30:E31,E29)</f>
        <v>1.2437782134104913</v>
      </c>
      <c r="F46" s="470">
        <f t="shared" ref="F46:M46" si="10">AVERAGE(F9:F11,F30:F31,F29)</f>
        <v>1.3681736040513439</v>
      </c>
      <c r="G46" s="470">
        <f t="shared" si="10"/>
        <v>0.61628899028671602</v>
      </c>
      <c r="H46" s="470">
        <f t="shared" si="10"/>
        <v>0.45018268923555343</v>
      </c>
      <c r="I46" s="470">
        <f t="shared" si="10"/>
        <v>0.61339472110636784</v>
      </c>
      <c r="J46" s="470">
        <f t="shared" si="10"/>
        <v>0.1163301511490623</v>
      </c>
      <c r="K46" s="470">
        <f t="shared" si="10"/>
        <v>1.2687287622134507</v>
      </c>
      <c r="L46" s="470">
        <f t="shared" si="10"/>
        <v>7.2581687999999991E-2</v>
      </c>
      <c r="M46" s="470">
        <f t="shared" si="10"/>
        <v>32.310790820303538</v>
      </c>
      <c r="N46" s="470">
        <f>AVERAGE(N9:N11,N30:N31,N29)</f>
        <v>4.7675089615877537</v>
      </c>
      <c r="O46" s="470">
        <f>AVERAGE(O9:O11,O30:O31,O29)</f>
        <v>39.18425998204809</v>
      </c>
      <c r="P46" s="470">
        <f t="shared" ref="P46" si="11">AVERAGE(P9:P11,P30:P31,P29)</f>
        <v>11.466780695413243</v>
      </c>
    </row>
    <row r="47" spans="1:90">
      <c r="B47" s="251"/>
      <c r="C47" s="251" t="s">
        <v>509</v>
      </c>
      <c r="D47" s="470">
        <f>AVERAGE(D12:D16,D28)</f>
        <v>2.0212948161753919</v>
      </c>
      <c r="E47" s="470">
        <f>AVERAGE(E12:E16,E28)</f>
        <v>1.2582723924897268</v>
      </c>
      <c r="F47" s="470">
        <f t="shared" ref="F47:M47" si="12">AVERAGE(F12:F16,F28)</f>
        <v>1.5439079414634735</v>
      </c>
      <c r="G47" s="470">
        <f t="shared" si="12"/>
        <v>0.67746780774559845</v>
      </c>
      <c r="H47" s="470">
        <f t="shared" si="12"/>
        <v>0.32038806837151118</v>
      </c>
      <c r="I47" s="470">
        <f t="shared" si="12"/>
        <v>0.59815610917616813</v>
      </c>
      <c r="J47" s="470">
        <f t="shared" si="12"/>
        <v>0.12433300413924703</v>
      </c>
      <c r="K47" s="470">
        <f t="shared" si="12"/>
        <v>2.2853066158509798</v>
      </c>
      <c r="L47" s="470">
        <f t="shared" si="12"/>
        <v>0.11043384066666666</v>
      </c>
      <c r="M47" s="470">
        <f t="shared" si="12"/>
        <v>36.365252662605819</v>
      </c>
      <c r="N47" s="470">
        <f>AVERAGE(N12:N16,N28)</f>
        <v>3.4983939423068229</v>
      </c>
      <c r="O47" s="470">
        <f>AVERAGE(O12:O16,O28)</f>
        <v>32.496313663755309</v>
      </c>
      <c r="P47" s="470">
        <f t="shared" ref="P47" si="13">AVERAGE(P12:P16,P28)</f>
        <v>10.711874020732187</v>
      </c>
    </row>
    <row r="48" spans="1:90">
      <c r="B48" s="251"/>
      <c r="C48" s="251" t="s">
        <v>2</v>
      </c>
      <c r="D48" s="470">
        <f>AVERAGE(D17:D21)</f>
        <v>0.45852557602472743</v>
      </c>
      <c r="E48" s="470">
        <f>AVERAGE(E17:E21)</f>
        <v>0.3227971128431254</v>
      </c>
      <c r="F48" s="470">
        <f t="shared" ref="F48:M48" si="14">AVERAGE(F17:F21)</f>
        <v>1.4546634155190652</v>
      </c>
      <c r="G48" s="470">
        <f t="shared" si="14"/>
        <v>0.68733385966691163</v>
      </c>
      <c r="H48" s="470">
        <f t="shared" si="14"/>
        <v>0.26095701511940034</v>
      </c>
      <c r="I48" s="470">
        <f t="shared" si="14"/>
        <v>0.78497466365868829</v>
      </c>
      <c r="J48" s="470">
        <f t="shared" si="14"/>
        <v>9.0373660027389738E-2</v>
      </c>
      <c r="K48" s="470">
        <f t="shared" si="14"/>
        <v>1.571162426753838</v>
      </c>
      <c r="L48" s="470">
        <f t="shared" si="14"/>
        <v>0.12564896060000003</v>
      </c>
      <c r="M48" s="470">
        <f t="shared" si="14"/>
        <v>15.410127763334941</v>
      </c>
      <c r="N48" s="470">
        <f>AVERAGE(N17:N21)</f>
        <v>5.8928207441357783</v>
      </c>
      <c r="O48" s="470">
        <f>AVERAGE(O17:O21)</f>
        <v>25.646991417753306</v>
      </c>
      <c r="P48" s="470">
        <f t="shared" ref="P48" si="15">AVERAGE(P17:P21)</f>
        <v>17.046185592308976</v>
      </c>
    </row>
    <row r="49" spans="2:27" s="585" customFormat="1">
      <c r="B49" s="586"/>
      <c r="C49" s="586" t="s">
        <v>512</v>
      </c>
      <c r="D49" s="588">
        <f>AVERAGE(D3:D21,D24,D28:D32)</f>
        <v>1.4063528173211637</v>
      </c>
      <c r="E49" s="588">
        <f t="shared" ref="E49:P49" si="16">AVERAGE(E3:E21,E24,E28:E32)</f>
        <v>0.95878632025151045</v>
      </c>
      <c r="F49" s="588">
        <f t="shared" si="16"/>
        <v>1.4076215501890597</v>
      </c>
      <c r="G49" s="588">
        <f t="shared" si="16"/>
        <v>0.65684954315967914</v>
      </c>
      <c r="H49" s="588">
        <f t="shared" si="16"/>
        <v>0.35073654980808255</v>
      </c>
      <c r="I49" s="588">
        <f t="shared" si="16"/>
        <v>0.66417950566952844</v>
      </c>
      <c r="J49" s="588">
        <f t="shared" si="16"/>
        <v>0.11049168403880875</v>
      </c>
      <c r="K49" s="588">
        <f t="shared" si="16"/>
        <v>1.6360093693226412</v>
      </c>
      <c r="L49" s="588">
        <f t="shared" si="16"/>
        <v>0.10728114625</v>
      </c>
      <c r="M49" s="588">
        <f t="shared" si="16"/>
        <v>26.99898566538138</v>
      </c>
      <c r="N49" s="588">
        <f t="shared" si="16"/>
        <v>4.8265709390234033</v>
      </c>
      <c r="O49" s="588">
        <f t="shared" si="16"/>
        <v>34.760735170573014</v>
      </c>
      <c r="P49" s="588">
        <f t="shared" si="16"/>
        <v>13.835182469970958</v>
      </c>
      <c r="AA49" s="587"/>
    </row>
    <row r="50" spans="2:27" s="585" customFormat="1">
      <c r="B50" s="586" t="s">
        <v>510</v>
      </c>
      <c r="C50" s="586" t="s">
        <v>510</v>
      </c>
      <c r="D50" s="588">
        <f>AVERAGE(D2,D27,D26,D25,D23,D22)</f>
        <v>1.016428057592172</v>
      </c>
      <c r="E50" s="588">
        <f>AVERAGE(E2,E27,E26,E25,E23,E22)</f>
        <v>0.80710049600710343</v>
      </c>
      <c r="F50" s="588">
        <f t="shared" ref="F50:M50" si="17">AVERAGE(F2,F27,F26,F25,F23,F22)</f>
        <v>1.328943383094799</v>
      </c>
      <c r="G50" s="588">
        <f t="shared" si="17"/>
        <v>0.91417048227626962</v>
      </c>
      <c r="H50" s="588">
        <f t="shared" si="17"/>
        <v>0.32728450698332373</v>
      </c>
      <c r="I50" s="588">
        <f t="shared" si="17"/>
        <v>0.57637358809936334</v>
      </c>
      <c r="J50" s="588">
        <f t="shared" si="17"/>
        <v>0.18121180870620016</v>
      </c>
      <c r="K50" s="588">
        <f t="shared" si="17"/>
        <v>1.8689883915419052</v>
      </c>
      <c r="L50" s="588">
        <f t="shared" si="17"/>
        <v>5.2190099666666677E-2</v>
      </c>
      <c r="M50" s="588">
        <f t="shared" si="17"/>
        <v>42.395540980921602</v>
      </c>
      <c r="N50" s="588">
        <f>AVERAGE(N2,N27,N26,N25,N23,N22)</f>
        <v>6.184972594823674</v>
      </c>
      <c r="O50" s="588">
        <f>AVERAGE(O2,O27,O26,O25,O23,O22)</f>
        <v>27.93879752951943</v>
      </c>
      <c r="P50" s="588">
        <f t="shared" ref="P50" si="18">AVERAGE(P2,P27,P26,P25,P23,P22)</f>
        <v>12.387075446055789</v>
      </c>
      <c r="AA50" s="587"/>
    </row>
    <row r="51" spans="2:27" s="585" customFormat="1">
      <c r="B51" s="586"/>
      <c r="C51" s="586"/>
      <c r="D51" s="588"/>
      <c r="E51" s="588"/>
      <c r="F51" s="588"/>
      <c r="G51" s="588"/>
      <c r="H51" s="588"/>
      <c r="I51" s="588"/>
      <c r="J51" s="588"/>
      <c r="K51" s="588"/>
      <c r="L51" s="588"/>
      <c r="M51" s="588"/>
      <c r="N51" s="588"/>
      <c r="O51" s="588"/>
      <c r="P51" s="588"/>
      <c r="AA51" s="587"/>
    </row>
    <row r="52" spans="2:27">
      <c r="L52" s="11">
        <v>0.11</v>
      </c>
    </row>
    <row r="53" spans="2:27">
      <c r="C53" s="51" t="s">
        <v>506</v>
      </c>
      <c r="D53" s="375" t="s">
        <v>474</v>
      </c>
      <c r="E53" s="375" t="s">
        <v>475</v>
      </c>
      <c r="F53" s="375" t="s">
        <v>459</v>
      </c>
      <c r="G53" s="375" t="s">
        <v>476</v>
      </c>
      <c r="H53" s="375" t="s">
        <v>477</v>
      </c>
      <c r="I53" s="375" t="s">
        <v>478</v>
      </c>
      <c r="J53" s="375" t="s">
        <v>479</v>
      </c>
      <c r="K53" s="375" t="s">
        <v>480</v>
      </c>
      <c r="L53" s="375" t="s">
        <v>456</v>
      </c>
      <c r="M53" s="375" t="s">
        <v>481</v>
      </c>
      <c r="N53" s="375" t="s">
        <v>482</v>
      </c>
      <c r="O53" s="375" t="s">
        <v>483</v>
      </c>
      <c r="P53" s="375" t="s">
        <v>484</v>
      </c>
    </row>
    <row r="54" spans="2:27">
      <c r="B54" s="251" t="s">
        <v>268</v>
      </c>
      <c r="C54" s="251" t="s">
        <v>440</v>
      </c>
      <c r="D54" s="11">
        <f>_xlfn.STDEV.S(D3:D8,D24)</f>
        <v>0.46897622918868165</v>
      </c>
      <c r="E54" s="11">
        <f t="shared" ref="E54:M54" si="19">_xlfn.STDEV.S(E3:E8,E24)</f>
        <v>0.12127837125685406</v>
      </c>
      <c r="F54" s="11">
        <f t="shared" si="19"/>
        <v>0.41456493284505569</v>
      </c>
      <c r="G54" s="11">
        <f t="shared" si="19"/>
        <v>0.16435872800751047</v>
      </c>
      <c r="H54" s="11">
        <f t="shared" si="19"/>
        <v>0.13371835157448211</v>
      </c>
      <c r="I54" s="11">
        <f t="shared" si="19"/>
        <v>0.34498076184703358</v>
      </c>
      <c r="J54" s="11">
        <f t="shared" si="19"/>
        <v>1.1910579535529649E-2</v>
      </c>
      <c r="K54" s="11">
        <f t="shared" si="19"/>
        <v>0.51375076937229824</v>
      </c>
      <c r="L54" s="11">
        <f t="shared" si="19"/>
        <v>5.7885721297708359E-2</v>
      </c>
      <c r="M54" s="11">
        <f t="shared" si="19"/>
        <v>10.110998578933001</v>
      </c>
      <c r="N54" s="11">
        <f>_xlfn.STDEV.S(N3:N8,N24)</f>
        <v>2.0075845768114728</v>
      </c>
      <c r="O54" s="11">
        <f t="shared" ref="O54:P54" si="20">_xlfn.STDEV.S(O3:O8,O24)</f>
        <v>10.356450023288854</v>
      </c>
      <c r="P54" s="11">
        <f t="shared" si="20"/>
        <v>3.6147651485151195</v>
      </c>
    </row>
    <row r="55" spans="2:27">
      <c r="B55" s="251"/>
      <c r="C55" s="251" t="s">
        <v>258</v>
      </c>
      <c r="D55" s="11">
        <f>_xlfn.STDEV.S(D9:D11,D29:D31)</f>
        <v>1.353255945308341</v>
      </c>
      <c r="E55" s="11">
        <f t="shared" ref="E55:M55" si="21">_xlfn.STDEV.S(E9:E11,E29:E31)</f>
        <v>0.48521591828674204</v>
      </c>
      <c r="F55" s="11">
        <f t="shared" si="21"/>
        <v>0.42353969589266982</v>
      </c>
      <c r="G55" s="11">
        <f t="shared" si="21"/>
        <v>0.11941143252585952</v>
      </c>
      <c r="H55" s="11">
        <f t="shared" si="21"/>
        <v>0.23666510192534268</v>
      </c>
      <c r="I55" s="11">
        <f t="shared" si="21"/>
        <v>0.44622853874436064</v>
      </c>
      <c r="J55" s="11">
        <f t="shared" si="21"/>
        <v>1.3891336383078835E-2</v>
      </c>
      <c r="K55" s="11">
        <f t="shared" si="21"/>
        <v>0.34936819869035407</v>
      </c>
      <c r="L55" s="11">
        <f t="shared" si="21"/>
        <v>3.0080772337959871E-2</v>
      </c>
      <c r="M55" s="11">
        <f t="shared" si="21"/>
        <v>27.258789260448815</v>
      </c>
      <c r="N55" s="11">
        <f>_xlfn.STDEV.S(N9:N11,N29:N31)</f>
        <v>1.1758994104040446</v>
      </c>
      <c r="O55" s="11">
        <f t="shared" ref="O55:P55" si="22">_xlfn.STDEV.S(O9:O11,O29:O31)</f>
        <v>12.579292503843682</v>
      </c>
      <c r="P55" s="11">
        <f t="shared" si="22"/>
        <v>2.8144218499826401</v>
      </c>
    </row>
    <row r="56" spans="2:27">
      <c r="B56" s="251"/>
      <c r="C56" s="251" t="s">
        <v>509</v>
      </c>
      <c r="D56" s="11">
        <f>_xlfn.STDEV.S(D12:D16,D28)</f>
        <v>1.1613695000771416</v>
      </c>
      <c r="E56" s="11">
        <f t="shared" ref="E56:M56" si="23">_xlfn.STDEV.S(E12:E16,E28)</f>
        <v>0.52939285500212263</v>
      </c>
      <c r="F56" s="11">
        <f t="shared" si="23"/>
        <v>0.30290848571358497</v>
      </c>
      <c r="G56" s="11">
        <f t="shared" si="23"/>
        <v>0.15210212665753647</v>
      </c>
      <c r="H56" s="11">
        <f t="shared" si="23"/>
        <v>0.14824200967653317</v>
      </c>
      <c r="I56" s="11">
        <f t="shared" si="23"/>
        <v>0.32591615710949984</v>
      </c>
      <c r="J56" s="11">
        <f t="shared" si="23"/>
        <v>1.6525599594165837E-2</v>
      </c>
      <c r="K56" s="11">
        <f t="shared" si="23"/>
        <v>1.0650321295094649</v>
      </c>
      <c r="L56" s="11">
        <f t="shared" si="23"/>
        <v>9.1393616366674313E-2</v>
      </c>
      <c r="M56" s="11">
        <f t="shared" si="23"/>
        <v>24.589930906049464</v>
      </c>
      <c r="N56" s="11">
        <f>_xlfn.STDEV.S(N12:N16,N28)</f>
        <v>1.4022541092434522</v>
      </c>
      <c r="O56" s="11">
        <f t="shared" ref="O56:P56" si="24">_xlfn.STDEV.S(O12:O16,O28)</f>
        <v>14.51743685365947</v>
      </c>
      <c r="P56" s="11">
        <f t="shared" si="24"/>
        <v>3.9743673479796815</v>
      </c>
    </row>
    <row r="57" spans="2:27">
      <c r="B57" s="251"/>
      <c r="C57" s="251" t="s">
        <v>2</v>
      </c>
      <c r="D57" s="11">
        <f>_xlfn.STDEV.S(D32,D17:D21)</f>
        <v>9.7156286518859214E-2</v>
      </c>
      <c r="E57" s="11">
        <f t="shared" ref="E57:M57" si="25">_xlfn.STDEV.S(E32,E17:E21)</f>
        <v>8.056230897630931E-2</v>
      </c>
      <c r="F57" s="11">
        <f t="shared" si="25"/>
        <v>0.25585737403611469</v>
      </c>
      <c r="G57" s="11">
        <f t="shared" si="25"/>
        <v>0.10444472873606774</v>
      </c>
      <c r="H57" s="11">
        <f t="shared" si="25"/>
        <v>0.11711515326678924</v>
      </c>
      <c r="I57" s="11">
        <f t="shared" si="25"/>
        <v>0.34609024435443037</v>
      </c>
      <c r="J57" s="11">
        <f t="shared" si="25"/>
        <v>9.6864732151281472E-3</v>
      </c>
      <c r="K57" s="11">
        <f>_xlfn.STDEV.S(K32,K17:K21)</f>
        <v>0.41209735813057025</v>
      </c>
      <c r="L57" s="11">
        <f t="shared" si="25"/>
        <v>3.7197209642598157E-2</v>
      </c>
      <c r="M57" s="11">
        <f t="shared" si="25"/>
        <v>3.8160086612189161</v>
      </c>
      <c r="N57" s="11">
        <f>_xlfn.STDEV.S(N32,N17:N21)</f>
        <v>1.7469368945391581</v>
      </c>
      <c r="O57" s="11">
        <f t="shared" ref="O57:P57" si="26">_xlfn.STDEV.S(O32,O17:O21)</f>
        <v>10.607236845099573</v>
      </c>
      <c r="P57" s="11">
        <f t="shared" si="26"/>
        <v>4.4871081097163295</v>
      </c>
    </row>
    <row r="58" spans="2:27" s="585" customFormat="1">
      <c r="B58" s="586"/>
      <c r="C58" s="586" t="s">
        <v>512</v>
      </c>
      <c r="D58" s="585">
        <f>_xlfn.STDEV.P(D3:D21,D24,D28:D32)</f>
        <v>1.0240569698543693</v>
      </c>
      <c r="E58" s="585">
        <f t="shared" ref="E58:P58" si="27">_xlfn.STDEV.P(E3:E21,E24,E28:E32)</f>
        <v>0.49680279923531956</v>
      </c>
      <c r="F58" s="585">
        <f t="shared" si="27"/>
        <v>0.33917143568489339</v>
      </c>
      <c r="G58" s="585">
        <f t="shared" si="27"/>
        <v>0.1292525764800013</v>
      </c>
      <c r="H58" s="585">
        <f t="shared" si="27"/>
        <v>0.1706699261616472</v>
      </c>
      <c r="I58" s="585">
        <f t="shared" si="27"/>
        <v>0.34339049242114034</v>
      </c>
      <c r="J58" s="585">
        <f t="shared" si="27"/>
        <v>1.7257609526825844E-2</v>
      </c>
      <c r="K58" s="585">
        <f t="shared" si="27"/>
        <v>0.70067748721524437</v>
      </c>
      <c r="L58" s="585">
        <f t="shared" si="27"/>
        <v>5.8542911999777736E-2</v>
      </c>
      <c r="M58" s="585">
        <f t="shared" si="27"/>
        <v>19.099269802384843</v>
      </c>
      <c r="N58" s="585">
        <f t="shared" si="27"/>
        <v>1.7008376742131575</v>
      </c>
      <c r="O58" s="585">
        <f t="shared" si="27"/>
        <v>12.647638126997883</v>
      </c>
      <c r="P58" s="585">
        <f t="shared" si="27"/>
        <v>4.3909525944535908</v>
      </c>
      <c r="AA58" s="587"/>
    </row>
    <row r="59" spans="2:27" s="585" customFormat="1">
      <c r="B59" s="586" t="s">
        <v>510</v>
      </c>
      <c r="C59" s="586" t="s">
        <v>510</v>
      </c>
      <c r="D59" s="585">
        <f>_xlfn.STDEV.S(D22:D23,D25,D26,D27,D2)</f>
        <v>0.41149404660290545</v>
      </c>
      <c r="E59" s="585">
        <f t="shared" ref="E59:M59" si="28">_xlfn.STDEV.S(E22:E23,E25,E26,E27,E2)</f>
        <v>0.18684883488789544</v>
      </c>
      <c r="F59" s="585">
        <f t="shared" si="28"/>
        <v>0.62891304868818454</v>
      </c>
      <c r="G59" s="585">
        <f t="shared" si="28"/>
        <v>0.16070169985854341</v>
      </c>
      <c r="H59" s="585">
        <f t="shared" si="28"/>
        <v>8.9778277818297558E-2</v>
      </c>
      <c r="I59" s="585">
        <f t="shared" si="28"/>
        <v>0.30542612806351671</v>
      </c>
      <c r="J59" s="585">
        <f t="shared" si="28"/>
        <v>5.85909895691318E-2</v>
      </c>
      <c r="K59" s="585">
        <f t="shared" si="28"/>
        <v>0.53893438116514591</v>
      </c>
      <c r="L59" s="585">
        <f t="shared" si="28"/>
        <v>3.727997660966232E-2</v>
      </c>
      <c r="M59" s="585">
        <f t="shared" si="28"/>
        <v>36.078549872547015</v>
      </c>
      <c r="N59" s="585">
        <f>_xlfn.STDEV.S(N22:N23,N25,N26,N27,N2)</f>
        <v>2.981160580803798</v>
      </c>
      <c r="O59" s="585">
        <f t="shared" ref="O59:P59" si="29">_xlfn.STDEV.S(O22:O23,O25,O26,O27,O2)</f>
        <v>9.0991810729746891</v>
      </c>
      <c r="P59" s="585">
        <f t="shared" si="29"/>
        <v>4.6181413262255404</v>
      </c>
      <c r="AA59" s="587"/>
    </row>
  </sheetData>
  <phoneticPr fontId="42" type="noConversion"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D0725-305E-C24D-8C16-88CC40E513A6}">
  <sheetPr>
    <tabColor rgb="FFFFC000"/>
  </sheetPr>
  <dimension ref="A1:BL86"/>
  <sheetViews>
    <sheetView zoomScale="60" zoomScaleNormal="60" workbookViewId="0">
      <pane ySplit="1" topLeftCell="A2" activePane="bottomLeft" state="frozen"/>
      <selection pane="bottomLeft" activeCell="B2" sqref="B2:B32"/>
    </sheetView>
  </sheetViews>
  <sheetFormatPr defaultColWidth="11" defaultRowHeight="15.75"/>
  <cols>
    <col min="1" max="1" width="9.875" style="11" bestFit="1" customWidth="1"/>
    <col min="2" max="2" width="17.75" style="11" customWidth="1"/>
    <col min="3" max="3" width="16.5" bestFit="1" customWidth="1"/>
    <col min="4" max="4" width="21" customWidth="1"/>
    <col min="5" max="5" width="15.25" style="11" bestFit="1" customWidth="1"/>
    <col min="6" max="6" width="16.75" style="11" bestFit="1" customWidth="1"/>
    <col min="7" max="7" width="15.75" style="11" bestFit="1" customWidth="1"/>
    <col min="8" max="8" width="17.125" style="11" bestFit="1" customWidth="1"/>
    <col min="9" max="9" width="12.625" style="11" bestFit="1" customWidth="1"/>
    <col min="10" max="10" width="17.75" style="11" bestFit="1" customWidth="1"/>
    <col min="11" max="11" width="18.625" style="11" bestFit="1" customWidth="1"/>
    <col min="12" max="12" width="18.5" style="11" customWidth="1"/>
    <col min="13" max="13" width="19.25" style="11" bestFit="1" customWidth="1"/>
    <col min="14" max="14" width="20.25" style="11" bestFit="1" customWidth="1"/>
    <col min="15" max="15" width="18.75" style="11" bestFit="1" customWidth="1"/>
    <col min="16" max="16" width="19.25" style="11" bestFit="1" customWidth="1"/>
    <col min="17" max="17" width="18" style="11" customWidth="1"/>
    <col min="18" max="27" width="11" style="11"/>
    <col min="28" max="28" width="8.75" style="11" bestFit="1" customWidth="1"/>
    <col min="29" max="37" width="8.5" style="11" bestFit="1" customWidth="1"/>
    <col min="38" max="41" width="9.5" style="11" bestFit="1" customWidth="1"/>
    <col min="42" max="43" width="11" style="11"/>
    <col min="44" max="44" width="11" style="11" customWidth="1"/>
    <col min="45" max="16384" width="11" style="11"/>
  </cols>
  <sheetData>
    <row r="1" spans="1:64" s="837" customFormat="1" ht="33.75" customHeight="1" thickBot="1">
      <c r="A1" s="837" t="s">
        <v>0</v>
      </c>
      <c r="B1" s="837" t="s">
        <v>3</v>
      </c>
      <c r="C1" s="860" t="s">
        <v>513</v>
      </c>
      <c r="D1" s="836" t="s">
        <v>457</v>
      </c>
      <c r="E1" s="837" t="s">
        <v>458</v>
      </c>
      <c r="F1" s="837" t="s">
        <v>459</v>
      </c>
      <c r="G1" s="837" t="s">
        <v>460</v>
      </c>
      <c r="H1" s="837" t="s">
        <v>461</v>
      </c>
      <c r="I1" s="837" t="s">
        <v>462</v>
      </c>
      <c r="J1" s="837" t="s">
        <v>463</v>
      </c>
      <c r="K1" s="837" t="s">
        <v>464</v>
      </c>
      <c r="L1" s="837" t="s">
        <v>465</v>
      </c>
      <c r="M1" s="837" t="s">
        <v>466</v>
      </c>
      <c r="N1" s="837" t="s">
        <v>467</v>
      </c>
      <c r="O1" s="838" t="s">
        <v>468</v>
      </c>
      <c r="P1" s="837" t="s">
        <v>469</v>
      </c>
      <c r="Q1" s="839" t="s">
        <v>514</v>
      </c>
      <c r="R1" s="839"/>
      <c r="S1" s="839"/>
      <c r="T1" s="839"/>
      <c r="U1" s="839"/>
      <c r="V1" s="839"/>
      <c r="W1" s="839"/>
      <c r="X1" s="839"/>
      <c r="Y1" s="839"/>
      <c r="Z1" s="839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839"/>
      <c r="AR1" s="839"/>
      <c r="AS1" s="839"/>
      <c r="AT1" s="839"/>
      <c r="AU1" s="839"/>
      <c r="AV1" s="839"/>
      <c r="AW1" s="839"/>
      <c r="AX1" s="839"/>
      <c r="AY1" s="839"/>
      <c r="AZ1" s="839"/>
      <c r="BA1" s="839"/>
      <c r="BB1" s="839"/>
      <c r="BC1" s="839"/>
      <c r="BD1" s="839"/>
      <c r="BE1" s="839"/>
      <c r="BF1" s="839"/>
      <c r="BG1" s="839"/>
      <c r="BH1" s="839"/>
      <c r="BI1" s="839"/>
      <c r="BJ1" s="839"/>
      <c r="BK1" s="839"/>
      <c r="BL1" s="839"/>
    </row>
    <row r="2" spans="1:64" s="13" customFormat="1" ht="18" customHeight="1">
      <c r="A2" s="467">
        <v>265</v>
      </c>
      <c r="B2" s="113"/>
      <c r="C2" s="10" t="s">
        <v>210</v>
      </c>
      <c r="D2" s="897">
        <v>4.1011090180726475</v>
      </c>
      <c r="E2" s="897">
        <v>2.4714598509225483</v>
      </c>
      <c r="F2" s="897">
        <v>1.6593872712687534</v>
      </c>
      <c r="G2" s="897">
        <v>2.4437074730673536</v>
      </c>
      <c r="H2" s="897">
        <v>1.6242835948762762</v>
      </c>
      <c r="I2" s="897">
        <v>1.4180816593373919</v>
      </c>
      <c r="J2" s="897">
        <v>0.29836267818868312</v>
      </c>
      <c r="K2" s="897">
        <v>3.2715116776143343</v>
      </c>
      <c r="L2" s="896">
        <v>0.23602524964065222</v>
      </c>
      <c r="M2" s="897">
        <v>112.97380789824199</v>
      </c>
      <c r="N2" s="897">
        <v>13.319924528206066</v>
      </c>
      <c r="O2" s="897">
        <v>118.01370417056172</v>
      </c>
      <c r="P2" s="897">
        <v>41.121542489189601</v>
      </c>
      <c r="Q2" s="11" t="s">
        <v>199</v>
      </c>
      <c r="R2" s="11"/>
      <c r="S2" s="11"/>
      <c r="T2" s="11"/>
      <c r="U2" s="11"/>
      <c r="V2" s="11"/>
      <c r="W2" s="11"/>
      <c r="X2" s="11"/>
      <c r="Y2" s="11"/>
      <c r="Z2" s="11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</row>
    <row r="3" spans="1:64" s="10" customFormat="1" ht="18.399999999999999" thickBot="1">
      <c r="A3" s="467">
        <v>266</v>
      </c>
      <c r="B3" s="113"/>
      <c r="C3" s="10" t="s">
        <v>221</v>
      </c>
      <c r="D3" s="897">
        <v>3.594655533183114</v>
      </c>
      <c r="E3" s="897">
        <v>2.4543816237413889</v>
      </c>
      <c r="F3" s="897">
        <v>1.464587046452672</v>
      </c>
      <c r="G3" s="896">
        <v>1.224007312975339</v>
      </c>
      <c r="H3" s="897">
        <v>0.92795806058173902</v>
      </c>
      <c r="I3" s="897">
        <v>3.8778128959049205</v>
      </c>
      <c r="J3" s="897">
        <v>0.34380485489522727</v>
      </c>
      <c r="K3" s="897">
        <v>2.6785501513147141</v>
      </c>
      <c r="L3" s="896">
        <v>0.22520194292024792</v>
      </c>
      <c r="M3" s="897">
        <v>83.389462638606091</v>
      </c>
      <c r="N3" s="897">
        <v>11.933511528145198</v>
      </c>
      <c r="O3" s="896">
        <v>71.782989225309564</v>
      </c>
      <c r="P3" s="897">
        <v>45.041122124791109</v>
      </c>
      <c r="Q3" s="11" t="s">
        <v>199</v>
      </c>
      <c r="R3" s="11"/>
      <c r="S3" s="11"/>
      <c r="T3" s="11"/>
      <c r="U3" s="11"/>
      <c r="V3" s="11"/>
      <c r="W3" s="11"/>
      <c r="X3" s="11"/>
      <c r="Y3" s="11"/>
      <c r="Z3" s="11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</row>
    <row r="4" spans="1:64" s="10" customFormat="1" ht="18">
      <c r="A4" s="467">
        <v>267</v>
      </c>
      <c r="B4" s="113"/>
      <c r="C4" s="10" t="s">
        <v>221</v>
      </c>
      <c r="D4" s="897">
        <v>3.5184531151444109</v>
      </c>
      <c r="E4" s="897">
        <v>2.5109836561424559</v>
      </c>
      <c r="F4" s="897">
        <v>1.401225016553751</v>
      </c>
      <c r="G4" s="897">
        <v>1.7055562304895184</v>
      </c>
      <c r="H4" s="897">
        <v>0.85976337145274395</v>
      </c>
      <c r="I4" s="897">
        <v>1.3372788025055331</v>
      </c>
      <c r="J4" s="897">
        <v>0.25440273909868194</v>
      </c>
      <c r="K4" s="897">
        <v>4.1291548909500708</v>
      </c>
      <c r="L4" s="897">
        <v>0.27827919369129617</v>
      </c>
      <c r="M4" s="897">
        <v>53.011216432298774</v>
      </c>
      <c r="N4" s="897">
        <v>7.6268379627789562</v>
      </c>
      <c r="O4" s="897">
        <v>131.68243125106642</v>
      </c>
      <c r="P4" s="897">
        <v>42.48278312283832</v>
      </c>
      <c r="Q4" s="861" t="s">
        <v>211</v>
      </c>
      <c r="R4" s="11"/>
      <c r="S4" s="11"/>
      <c r="T4" s="11"/>
      <c r="U4" s="11"/>
      <c r="V4" s="11"/>
      <c r="W4" s="11"/>
      <c r="X4" s="11"/>
      <c r="Y4" s="11"/>
      <c r="Z4" s="11"/>
      <c r="AA4" s="142"/>
      <c r="AB4" s="865" t="s">
        <v>0</v>
      </c>
      <c r="AC4" s="866"/>
      <c r="AD4" s="870" t="s">
        <v>488</v>
      </c>
      <c r="AE4" s="870" t="s">
        <v>489</v>
      </c>
      <c r="AF4" s="870" t="s">
        <v>490</v>
      </c>
      <c r="AG4" s="870" t="s">
        <v>491</v>
      </c>
      <c r="AH4" s="870" t="s">
        <v>492</v>
      </c>
      <c r="AI4" s="870" t="s">
        <v>493</v>
      </c>
      <c r="AJ4" s="870" t="s">
        <v>494</v>
      </c>
      <c r="AK4" s="870" t="s">
        <v>495</v>
      </c>
      <c r="AL4" s="870" t="s">
        <v>496</v>
      </c>
      <c r="AM4" s="870" t="s">
        <v>497</v>
      </c>
      <c r="AN4" s="870" t="s">
        <v>498</v>
      </c>
      <c r="AO4" s="870" t="s">
        <v>499</v>
      </c>
      <c r="AP4" s="871" t="s">
        <v>500</v>
      </c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</row>
    <row r="5" spans="1:64" s="10" customFormat="1" ht="18.399999999999999" thickBot="1">
      <c r="A5" s="467">
        <v>268</v>
      </c>
      <c r="B5" s="125"/>
      <c r="C5" s="18" t="s">
        <v>210</v>
      </c>
      <c r="D5" s="898">
        <v>2.1842691549291131</v>
      </c>
      <c r="E5" s="897">
        <v>2.9575392766122337</v>
      </c>
      <c r="F5" s="896">
        <v>0.73854273794501335</v>
      </c>
      <c r="G5" s="897">
        <v>1.8846451506516448</v>
      </c>
      <c r="H5" s="897">
        <v>1.0620736881580986</v>
      </c>
      <c r="I5" s="897">
        <v>0.93791643864289587</v>
      </c>
      <c r="J5" s="897">
        <v>0.26426024185725716</v>
      </c>
      <c r="K5" s="897">
        <v>4.06523155223468</v>
      </c>
      <c r="L5" s="897">
        <v>0.37664157186051334</v>
      </c>
      <c r="M5" s="897">
        <v>39.335673201142654</v>
      </c>
      <c r="N5" s="897">
        <v>11.523804491841753</v>
      </c>
      <c r="O5" s="897">
        <v>85.36860008436534</v>
      </c>
      <c r="P5" s="897">
        <v>32.184415642037479</v>
      </c>
      <c r="Q5" s="11" t="s">
        <v>199</v>
      </c>
      <c r="R5" s="11"/>
      <c r="S5" s="11"/>
      <c r="T5" s="11"/>
      <c r="U5" s="11"/>
      <c r="V5" s="11"/>
      <c r="W5" s="11"/>
      <c r="X5" s="11"/>
      <c r="Y5" s="11"/>
      <c r="Z5" s="11"/>
      <c r="AA5" s="142"/>
      <c r="AB5" s="867"/>
      <c r="AC5" s="868"/>
      <c r="AD5" s="868" t="s">
        <v>515</v>
      </c>
      <c r="AE5" s="868" t="s">
        <v>516</v>
      </c>
      <c r="AF5" s="868" t="s">
        <v>517</v>
      </c>
      <c r="AG5" s="868" t="s">
        <v>518</v>
      </c>
      <c r="AH5" s="868" t="s">
        <v>519</v>
      </c>
      <c r="AI5" s="868" t="s">
        <v>520</v>
      </c>
      <c r="AJ5" s="868" t="s">
        <v>521</v>
      </c>
      <c r="AK5" s="868" t="s">
        <v>522</v>
      </c>
      <c r="AL5" s="868" t="s">
        <v>523</v>
      </c>
      <c r="AM5" s="868" t="s">
        <v>524</v>
      </c>
      <c r="AN5" s="868" t="s">
        <v>525</v>
      </c>
      <c r="AO5" s="868" t="s">
        <v>526</v>
      </c>
      <c r="AP5" s="869" t="s">
        <v>527</v>
      </c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</row>
    <row r="6" spans="1:64" s="10" customFormat="1" ht="18">
      <c r="A6" s="467">
        <v>269</v>
      </c>
      <c r="B6" s="113"/>
      <c r="C6" s="10" t="s">
        <v>210</v>
      </c>
      <c r="D6" s="897">
        <v>1.6027726543022773</v>
      </c>
      <c r="E6" s="897">
        <v>2.1410427663110987</v>
      </c>
      <c r="F6" s="896">
        <v>0.74859441367617718</v>
      </c>
      <c r="G6" s="897">
        <v>1.7791202004618381</v>
      </c>
      <c r="H6" s="897">
        <v>1.0904793809098758</v>
      </c>
      <c r="I6" s="897">
        <v>2.003061427515735</v>
      </c>
      <c r="J6" s="897">
        <v>0.24294163564989069</v>
      </c>
      <c r="K6" s="897">
        <v>6.4396283102433909</v>
      </c>
      <c r="L6" s="897">
        <v>0.27390345850746267</v>
      </c>
      <c r="M6" s="897">
        <v>73.195584886684145</v>
      </c>
      <c r="N6" s="897">
        <v>21.751798573010465</v>
      </c>
      <c r="O6" s="897">
        <v>133.83953811671287</v>
      </c>
      <c r="P6" s="897">
        <v>50.702772796076829</v>
      </c>
      <c r="Q6" s="11" t="s">
        <v>199</v>
      </c>
      <c r="R6" s="11"/>
      <c r="S6" s="11"/>
      <c r="T6" s="11"/>
      <c r="U6" s="11"/>
      <c r="V6" s="11"/>
      <c r="W6" s="11"/>
      <c r="X6" s="11"/>
      <c r="Y6" s="964" t="s">
        <v>501</v>
      </c>
      <c r="Z6" s="964"/>
      <c r="AA6" s="142"/>
      <c r="AB6" s="872">
        <v>265</v>
      </c>
      <c r="AC6" s="872" t="s">
        <v>268</v>
      </c>
      <c r="AD6" s="888"/>
      <c r="AE6" s="876"/>
      <c r="AF6" s="876"/>
      <c r="AG6" s="876"/>
      <c r="AH6" s="876"/>
      <c r="AI6" s="876"/>
      <c r="AJ6" s="876"/>
      <c r="AK6" s="876"/>
      <c r="AL6" s="901"/>
      <c r="AM6" s="876"/>
      <c r="AN6" s="876"/>
      <c r="AO6" s="876"/>
      <c r="AP6" s="877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</row>
    <row r="7" spans="1:64" s="10" customFormat="1" ht="18">
      <c r="A7" s="467">
        <v>270</v>
      </c>
      <c r="B7" s="113"/>
      <c r="C7" s="10" t="s">
        <v>221</v>
      </c>
      <c r="D7" s="897">
        <v>5.1485313819409022</v>
      </c>
      <c r="E7" s="897">
        <v>3.0597951241953423</v>
      </c>
      <c r="F7" s="897">
        <v>1.682639252945032</v>
      </c>
      <c r="G7" s="897">
        <v>1.3879871694898855</v>
      </c>
      <c r="H7" s="897">
        <v>0.51040575558276313</v>
      </c>
      <c r="I7" s="897">
        <v>2.6447904755702369</v>
      </c>
      <c r="J7" s="897">
        <v>0.30694817608373276</v>
      </c>
      <c r="K7" s="897">
        <v>4.139996961202927</v>
      </c>
      <c r="L7" s="896">
        <v>0.19378227154067743</v>
      </c>
      <c r="M7" s="897">
        <v>40.139260191789518</v>
      </c>
      <c r="N7" s="897">
        <v>20.882915891231299</v>
      </c>
      <c r="O7" s="897">
        <v>87.708651949276415</v>
      </c>
      <c r="P7" s="897">
        <v>63.572970039111695</v>
      </c>
      <c r="Q7" s="11" t="s">
        <v>199</v>
      </c>
      <c r="R7" s="11"/>
      <c r="S7" s="11"/>
      <c r="T7" s="11"/>
      <c r="U7" s="11"/>
      <c r="V7" s="11"/>
      <c r="W7" s="11"/>
      <c r="X7" s="11"/>
      <c r="Y7" s="965" t="s">
        <v>502</v>
      </c>
      <c r="Z7" s="965"/>
      <c r="AA7" s="142"/>
      <c r="AB7" s="873">
        <v>266</v>
      </c>
      <c r="AC7" s="873" t="s">
        <v>268</v>
      </c>
      <c r="AD7" s="887"/>
      <c r="AE7" s="902"/>
      <c r="AF7" s="902"/>
      <c r="AG7" s="896"/>
      <c r="AH7" s="902"/>
      <c r="AI7" s="902"/>
      <c r="AJ7" s="902"/>
      <c r="AK7" s="902"/>
      <c r="AL7" s="896"/>
      <c r="AM7" s="902"/>
      <c r="AN7" s="902"/>
      <c r="AO7" s="896"/>
      <c r="AP7" s="878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</row>
    <row r="8" spans="1:64" s="10" customFormat="1" ht="18">
      <c r="A8" s="468">
        <v>271</v>
      </c>
      <c r="B8" s="113"/>
      <c r="C8" s="10" t="s">
        <v>260</v>
      </c>
      <c r="D8" s="897">
        <v>3.3595255331845419</v>
      </c>
      <c r="E8" s="897">
        <v>2.5512354271805688</v>
      </c>
      <c r="F8" s="897">
        <v>1.3168230173478086</v>
      </c>
      <c r="G8" s="897">
        <v>1.5602096089101702</v>
      </c>
      <c r="H8" s="897">
        <v>0.33632289657309883</v>
      </c>
      <c r="I8" s="897">
        <v>0.66984344203847312</v>
      </c>
      <c r="J8" s="897">
        <v>0.23802048479872093</v>
      </c>
      <c r="K8" s="897">
        <v>4.8039842389368586</v>
      </c>
      <c r="L8" s="897">
        <v>0.31010077378686962</v>
      </c>
      <c r="M8" s="897">
        <v>207.99190744862892</v>
      </c>
      <c r="N8" s="897">
        <v>13.285950578362892</v>
      </c>
      <c r="O8" s="896">
        <v>72.657994569106279</v>
      </c>
      <c r="P8" s="897">
        <v>27.004591355046802</v>
      </c>
      <c r="Q8" s="11" t="s">
        <v>199</v>
      </c>
      <c r="R8" s="11"/>
      <c r="S8" s="11"/>
      <c r="T8" s="11"/>
      <c r="U8" s="11"/>
      <c r="V8" s="11"/>
      <c r="W8" s="11"/>
      <c r="X8" s="11"/>
      <c r="Y8" s="11"/>
      <c r="Z8" s="11"/>
      <c r="AA8" s="142"/>
      <c r="AB8" s="873">
        <v>267</v>
      </c>
      <c r="AC8" s="873" t="s">
        <v>268</v>
      </c>
      <c r="AD8" s="887"/>
      <c r="AE8" s="902"/>
      <c r="AF8" s="902"/>
      <c r="AG8" s="902"/>
      <c r="AH8" s="902"/>
      <c r="AI8" s="902"/>
      <c r="AJ8" s="902"/>
      <c r="AK8" s="902"/>
      <c r="AL8" s="902"/>
      <c r="AM8" s="902"/>
      <c r="AN8" s="902"/>
      <c r="AO8" s="902"/>
      <c r="AP8" s="878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</row>
    <row r="9" spans="1:64" s="10" customFormat="1" ht="18">
      <c r="A9" s="468">
        <v>272</v>
      </c>
      <c r="B9" s="113"/>
      <c r="C9" s="10" t="s">
        <v>210</v>
      </c>
      <c r="D9" s="897">
        <v>3.224378857878516</v>
      </c>
      <c r="E9" s="897">
        <v>2.269688593149592</v>
      </c>
      <c r="F9" s="897">
        <v>1.4206261015763944</v>
      </c>
      <c r="G9" s="897">
        <v>1.5474513289525373</v>
      </c>
      <c r="H9" s="897">
        <v>2.0500761149014126</v>
      </c>
      <c r="I9" s="897">
        <v>0.6257714285962942</v>
      </c>
      <c r="J9" s="897">
        <v>0.28812492297018516</v>
      </c>
      <c r="K9" s="897">
        <v>3.2938218229197598</v>
      </c>
      <c r="L9" s="896">
        <v>0.25622790937730738</v>
      </c>
      <c r="M9" s="897">
        <v>27.478618223365618</v>
      </c>
      <c r="N9" s="897">
        <v>14.046433783688515</v>
      </c>
      <c r="O9" s="897">
        <v>123.2171059624669</v>
      </c>
      <c r="P9" s="897">
        <v>34.951357632771064</v>
      </c>
      <c r="Q9" s="11" t="s">
        <v>199</v>
      </c>
      <c r="R9" s="11"/>
      <c r="S9" s="11"/>
      <c r="T9" s="11"/>
      <c r="U9" s="11"/>
      <c r="V9" s="11"/>
      <c r="W9" s="11"/>
      <c r="X9" s="11"/>
      <c r="Y9" s="11"/>
      <c r="Z9" s="11"/>
      <c r="AA9" s="142"/>
      <c r="AB9" s="873">
        <v>268</v>
      </c>
      <c r="AC9" s="873" t="s">
        <v>268</v>
      </c>
      <c r="AD9" s="887"/>
      <c r="AE9" s="902"/>
      <c r="AF9" s="896"/>
      <c r="AG9" s="902"/>
      <c r="AH9" s="902"/>
      <c r="AI9" s="902"/>
      <c r="AJ9" s="902"/>
      <c r="AK9" s="902"/>
      <c r="AL9" s="902"/>
      <c r="AM9" s="902"/>
      <c r="AN9" s="902"/>
      <c r="AO9" s="902"/>
      <c r="AP9" s="878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</row>
    <row r="10" spans="1:64" s="10" customFormat="1" ht="18">
      <c r="A10" s="468">
        <v>273</v>
      </c>
      <c r="B10" s="113"/>
      <c r="C10" s="10" t="s">
        <v>221</v>
      </c>
      <c r="D10" s="897">
        <v>4.0297790509239286</v>
      </c>
      <c r="E10" s="897">
        <v>2.9937255870349695</v>
      </c>
      <c r="F10" s="897">
        <v>1.3460749603690572</v>
      </c>
      <c r="G10" s="897">
        <v>1.7414993248723407</v>
      </c>
      <c r="H10" s="897">
        <v>1.8529704424122821</v>
      </c>
      <c r="I10" s="897">
        <v>4.0067672008560562</v>
      </c>
      <c r="J10" s="897">
        <v>0.35431220936286245</v>
      </c>
      <c r="K10" s="897">
        <v>4.1293039424685274</v>
      </c>
      <c r="L10" s="896">
        <v>0.17963420268062824</v>
      </c>
      <c r="M10" s="897">
        <v>44.889042767288664</v>
      </c>
      <c r="N10" s="897">
        <v>8.3661072353431116</v>
      </c>
      <c r="O10" s="897">
        <v>94.68075331121625</v>
      </c>
      <c r="P10" s="897">
        <v>42.41068800617078</v>
      </c>
      <c r="Q10" s="11" t="s">
        <v>199</v>
      </c>
      <c r="R10" s="11"/>
      <c r="S10" s="11"/>
      <c r="T10" s="11"/>
      <c r="U10" s="11"/>
      <c r="V10" s="11"/>
      <c r="W10" s="11"/>
      <c r="X10" s="11"/>
      <c r="Y10" s="11"/>
      <c r="Z10" s="11"/>
      <c r="AA10" s="142"/>
      <c r="AB10" s="873">
        <v>269</v>
      </c>
      <c r="AC10" s="873" t="s">
        <v>268</v>
      </c>
      <c r="AD10" s="887"/>
      <c r="AE10" s="902"/>
      <c r="AF10" s="896"/>
      <c r="AG10" s="902"/>
      <c r="AH10" s="902"/>
      <c r="AI10" s="902"/>
      <c r="AJ10" s="902"/>
      <c r="AK10" s="902"/>
      <c r="AL10" s="902"/>
      <c r="AM10" s="902"/>
      <c r="AN10" s="902"/>
      <c r="AO10" s="902"/>
      <c r="AP10" s="878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</row>
    <row r="11" spans="1:64" s="10" customFormat="1" ht="18">
      <c r="A11" s="469">
        <v>274</v>
      </c>
      <c r="B11" s="113"/>
      <c r="C11" s="10" t="s">
        <v>210</v>
      </c>
      <c r="D11" s="897">
        <v>2.1488864306767201</v>
      </c>
      <c r="E11" s="897">
        <v>1.6130326504043271</v>
      </c>
      <c r="F11" s="897">
        <v>1.3322026867454138</v>
      </c>
      <c r="G11" s="897">
        <v>1.6615415279286019</v>
      </c>
      <c r="H11" s="897">
        <v>0.6531516390611195</v>
      </c>
      <c r="I11" s="897">
        <v>2.8997177799121907</v>
      </c>
      <c r="J11" s="897">
        <v>0.28535688656176683</v>
      </c>
      <c r="K11" s="897">
        <v>3.0478038032956931</v>
      </c>
      <c r="L11" s="896">
        <v>0.10783789744912314</v>
      </c>
      <c r="M11" s="897">
        <v>41.852900950373403</v>
      </c>
      <c r="N11" s="897">
        <v>5.8666673199608654</v>
      </c>
      <c r="O11" s="896">
        <v>61.684713412405905</v>
      </c>
      <c r="P11" s="897">
        <v>37.641418644236587</v>
      </c>
      <c r="Q11" s="11" t="s">
        <v>199</v>
      </c>
      <c r="R11" s="11"/>
      <c r="S11" s="11"/>
      <c r="T11" s="11"/>
      <c r="U11" s="11"/>
      <c r="V11" s="11"/>
      <c r="W11" s="11"/>
      <c r="X11" s="11"/>
      <c r="Y11" s="11"/>
      <c r="Z11" s="11"/>
      <c r="AA11" s="142"/>
      <c r="AB11" s="873">
        <v>270</v>
      </c>
      <c r="AC11" s="873" t="s">
        <v>268</v>
      </c>
      <c r="AD11" s="887"/>
      <c r="AE11" s="902"/>
      <c r="AF11" s="902"/>
      <c r="AG11" s="902"/>
      <c r="AH11" s="902"/>
      <c r="AI11" s="902"/>
      <c r="AJ11" s="902"/>
      <c r="AK11" s="902"/>
      <c r="AL11" s="896"/>
      <c r="AM11" s="902"/>
      <c r="AN11" s="902"/>
      <c r="AO11" s="902"/>
      <c r="AP11" s="878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</row>
    <row r="12" spans="1:64" s="10" customFormat="1" ht="18">
      <c r="A12" s="469">
        <v>275</v>
      </c>
      <c r="B12" s="113"/>
      <c r="C12" s="10" t="s">
        <v>260</v>
      </c>
      <c r="D12" s="897">
        <v>2.999685488569674</v>
      </c>
      <c r="E12" s="897">
        <v>2.1546495463610955</v>
      </c>
      <c r="F12" s="897">
        <v>1.3921918270355043</v>
      </c>
      <c r="G12" s="897">
        <v>2.3723689454089611</v>
      </c>
      <c r="H12" s="896">
        <v>0.20045981354923478</v>
      </c>
      <c r="I12" s="897">
        <v>1.7908911795992841</v>
      </c>
      <c r="J12" s="897">
        <v>0.28455841449206631</v>
      </c>
      <c r="K12" s="897">
        <v>5.353575368511974</v>
      </c>
      <c r="L12" s="896">
        <v>0.13477290325055236</v>
      </c>
      <c r="M12" s="897">
        <v>90.022232803962169</v>
      </c>
      <c r="N12" s="897">
        <v>9.2483605814149747</v>
      </c>
      <c r="O12" s="896">
        <v>43.544577423093422</v>
      </c>
      <c r="P12" s="897">
        <v>19.723232679429557</v>
      </c>
      <c r="Q12" s="11" t="s">
        <v>199</v>
      </c>
      <c r="R12" s="11"/>
      <c r="S12" s="11"/>
      <c r="T12" s="11"/>
      <c r="U12" s="11"/>
      <c r="V12" s="11"/>
      <c r="W12" s="11"/>
      <c r="X12" s="11"/>
      <c r="Y12" s="11"/>
      <c r="Z12" s="11"/>
      <c r="AA12" s="142"/>
      <c r="AB12" s="873">
        <v>271</v>
      </c>
      <c r="AC12" s="873" t="s">
        <v>268</v>
      </c>
      <c r="AD12" s="887"/>
      <c r="AE12" s="902"/>
      <c r="AF12" s="902"/>
      <c r="AG12" s="902"/>
      <c r="AH12" s="902"/>
      <c r="AI12" s="902"/>
      <c r="AJ12" s="902"/>
      <c r="AK12" s="902"/>
      <c r="AL12" s="902"/>
      <c r="AM12" s="902"/>
      <c r="AN12" s="902"/>
      <c r="AO12" s="896"/>
      <c r="AP12" s="878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</row>
    <row r="13" spans="1:64" s="10" customFormat="1" ht="18">
      <c r="A13" s="469">
        <v>276</v>
      </c>
      <c r="B13" s="113"/>
      <c r="C13" s="10" t="s">
        <v>221</v>
      </c>
      <c r="D13" s="894">
        <v>6.9518373887882001</v>
      </c>
      <c r="E13" s="895">
        <v>4.1465623144142496</v>
      </c>
      <c r="F13" s="897">
        <v>1.6765303067126891</v>
      </c>
      <c r="G13" s="897">
        <v>1.7136039453071605</v>
      </c>
      <c r="H13" s="897">
        <v>1.0634992718070728</v>
      </c>
      <c r="I13" s="897">
        <v>0.56431049342306749</v>
      </c>
      <c r="J13" s="897">
        <v>0.34334439700219127</v>
      </c>
      <c r="K13" s="897">
        <v>6.4255707357286038</v>
      </c>
      <c r="L13" s="897">
        <v>0.33512608172049929</v>
      </c>
      <c r="M13" s="897">
        <v>76.230502893565458</v>
      </c>
      <c r="N13" s="897">
        <v>8.1154674486834963</v>
      </c>
      <c r="O13" s="897">
        <v>122.90084529645189</v>
      </c>
      <c r="P13" s="897">
        <v>23.308044290411317</v>
      </c>
      <c r="Q13" s="11" t="s">
        <v>199</v>
      </c>
      <c r="R13" s="11"/>
      <c r="S13" s="11"/>
      <c r="T13" s="11"/>
      <c r="U13" s="11"/>
      <c r="V13" s="11"/>
      <c r="W13" s="11"/>
      <c r="X13" s="11"/>
      <c r="Y13" s="11"/>
      <c r="Z13" s="11"/>
      <c r="AA13" s="142"/>
      <c r="AB13" s="873">
        <v>272</v>
      </c>
      <c r="AC13" s="873" t="s">
        <v>268</v>
      </c>
      <c r="AD13" s="887"/>
      <c r="AE13" s="902"/>
      <c r="AF13" s="902"/>
      <c r="AG13" s="902"/>
      <c r="AH13" s="902"/>
      <c r="AI13" s="902"/>
      <c r="AJ13" s="902"/>
      <c r="AK13" s="902"/>
      <c r="AL13" s="896"/>
      <c r="AM13" s="902"/>
      <c r="AN13" s="902"/>
      <c r="AO13" s="902"/>
      <c r="AP13" s="878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</row>
    <row r="14" spans="1:64" s="10" customFormat="1" ht="18">
      <c r="A14" s="469">
        <v>277</v>
      </c>
      <c r="B14" s="113"/>
      <c r="C14" s="10" t="s">
        <v>221</v>
      </c>
      <c r="D14" s="897">
        <v>4.8326164005684644</v>
      </c>
      <c r="E14" s="895">
        <v>4.1907993621662998</v>
      </c>
      <c r="F14" s="897">
        <v>1.1531490732284539</v>
      </c>
      <c r="G14" s="897">
        <v>2.4803909951898886</v>
      </c>
      <c r="H14" s="897">
        <v>1.2113403500525695</v>
      </c>
      <c r="I14" s="897">
        <v>1.9626749988674614</v>
      </c>
      <c r="J14" s="897">
        <v>0.36976134681495254</v>
      </c>
      <c r="K14" s="897">
        <v>6.5821878688918831</v>
      </c>
      <c r="L14" s="897">
        <v>0.45102151803366275</v>
      </c>
      <c r="M14" s="897">
        <v>240.92389493975332</v>
      </c>
      <c r="N14" s="897">
        <v>16.230550354463347</v>
      </c>
      <c r="O14" s="897">
        <v>118.26554228488271</v>
      </c>
      <c r="P14" s="897">
        <v>40.913772682909148</v>
      </c>
      <c r="Q14" s="11" t="s">
        <v>199</v>
      </c>
      <c r="R14" s="11"/>
      <c r="S14" s="11"/>
      <c r="T14" s="11"/>
      <c r="U14" s="11"/>
      <c r="V14" s="11"/>
      <c r="W14" s="11"/>
      <c r="X14" s="11"/>
      <c r="Y14" s="11"/>
      <c r="Z14" s="11"/>
      <c r="AA14" s="142"/>
      <c r="AB14" s="873">
        <v>273</v>
      </c>
      <c r="AC14" s="873" t="s">
        <v>268</v>
      </c>
      <c r="AD14" s="887"/>
      <c r="AE14" s="902"/>
      <c r="AF14" s="902"/>
      <c r="AG14" s="902"/>
      <c r="AH14" s="902"/>
      <c r="AI14" s="902"/>
      <c r="AJ14" s="902"/>
      <c r="AK14" s="902"/>
      <c r="AL14" s="896"/>
      <c r="AM14" s="902"/>
      <c r="AN14" s="902"/>
      <c r="AO14" s="902"/>
      <c r="AP14" s="878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</row>
    <row r="15" spans="1:64" s="10" customFormat="1" ht="18">
      <c r="A15" s="469">
        <v>278</v>
      </c>
      <c r="B15" s="113"/>
      <c r="C15" s="10" t="s">
        <v>221</v>
      </c>
      <c r="D15" s="897">
        <v>5.3009841572960053</v>
      </c>
      <c r="E15" s="897">
        <v>3.0509900009245534</v>
      </c>
      <c r="F15" s="897">
        <v>1.7374636284254052</v>
      </c>
      <c r="G15" s="897">
        <v>1.7329317435687686</v>
      </c>
      <c r="H15" s="897">
        <v>1.3318726851429505</v>
      </c>
      <c r="I15" s="897">
        <v>1.6845031830896755</v>
      </c>
      <c r="J15" s="897">
        <v>0.35309996821857476</v>
      </c>
      <c r="K15" s="897">
        <v>4.5662814898236537</v>
      </c>
      <c r="L15" s="897">
        <v>0.73426900468238931</v>
      </c>
      <c r="M15" s="897">
        <v>109.19454497824586</v>
      </c>
      <c r="N15" s="897">
        <v>13.115956039145708</v>
      </c>
      <c r="O15" s="897">
        <v>133.16831752928181</v>
      </c>
      <c r="P15" s="897">
        <v>37.823643806280622</v>
      </c>
      <c r="Q15" s="861" t="s">
        <v>211</v>
      </c>
      <c r="R15" s="11"/>
      <c r="S15" s="11"/>
      <c r="T15" s="11"/>
      <c r="U15" s="11"/>
      <c r="V15" s="11"/>
      <c r="W15" s="11"/>
      <c r="X15" s="11"/>
      <c r="Y15" s="11"/>
      <c r="Z15" s="11"/>
      <c r="AA15" s="142"/>
      <c r="AB15" s="873">
        <v>274</v>
      </c>
      <c r="AC15" s="873" t="s">
        <v>268</v>
      </c>
      <c r="AD15" s="887"/>
      <c r="AE15" s="902"/>
      <c r="AF15" s="902"/>
      <c r="AG15" s="902"/>
      <c r="AH15" s="902"/>
      <c r="AI15" s="902"/>
      <c r="AJ15" s="902"/>
      <c r="AK15" s="902"/>
      <c r="AL15" s="896"/>
      <c r="AM15" s="902"/>
      <c r="AN15" s="902"/>
      <c r="AO15" s="896"/>
      <c r="AP15" s="878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</row>
    <row r="16" spans="1:64" s="10" customFormat="1" ht="18">
      <c r="A16" s="467">
        <v>286</v>
      </c>
      <c r="B16" s="113"/>
      <c r="C16" s="10" t="s">
        <v>221</v>
      </c>
      <c r="D16" s="897">
        <v>4.5888319700136808</v>
      </c>
      <c r="E16" s="897">
        <v>2.8230613888510687</v>
      </c>
      <c r="F16" s="897">
        <v>1.6254807593402163</v>
      </c>
      <c r="G16" s="900">
        <v>1.627003673200784</v>
      </c>
      <c r="H16" s="897">
        <v>1.1148687047441086</v>
      </c>
      <c r="I16" s="897">
        <v>1.9200274866137719</v>
      </c>
      <c r="J16" s="897">
        <v>0.32945433883522951</v>
      </c>
      <c r="K16" s="897">
        <v>2.7379429810229414</v>
      </c>
      <c r="L16" s="897">
        <v>0.63738560857586413</v>
      </c>
      <c r="M16" s="897">
        <v>63.401156793828711</v>
      </c>
      <c r="N16" s="897">
        <v>11.256164506220701</v>
      </c>
      <c r="O16" s="897">
        <v>119.48243118744384</v>
      </c>
      <c r="P16" s="897">
        <v>39.618084289718468</v>
      </c>
      <c r="Q16" s="861" t="s">
        <v>211</v>
      </c>
      <c r="R16" s="11"/>
      <c r="S16" s="11"/>
      <c r="T16" s="11"/>
      <c r="U16" s="11"/>
      <c r="V16" s="11"/>
      <c r="W16" s="11"/>
      <c r="X16" s="11"/>
      <c r="Y16" s="11"/>
      <c r="Z16" s="11"/>
      <c r="AA16" s="142"/>
      <c r="AB16" s="873">
        <v>275</v>
      </c>
      <c r="AC16" s="873" t="s">
        <v>268</v>
      </c>
      <c r="AD16" s="887"/>
      <c r="AE16" s="902"/>
      <c r="AF16" s="902"/>
      <c r="AG16" s="902"/>
      <c r="AH16" s="896"/>
      <c r="AI16" s="902"/>
      <c r="AJ16" s="902"/>
      <c r="AK16" s="902"/>
      <c r="AL16" s="896"/>
      <c r="AM16" s="902"/>
      <c r="AN16" s="902"/>
      <c r="AO16" s="896"/>
      <c r="AP16" s="878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</row>
    <row r="17" spans="1:64" s="14" customFormat="1" ht="18">
      <c r="A17" s="469">
        <v>291</v>
      </c>
      <c r="B17" s="113"/>
      <c r="C17" s="10" t="s">
        <v>221</v>
      </c>
      <c r="D17" s="894">
        <v>11.407551062971484</v>
      </c>
      <c r="E17" s="895">
        <v>5.7850258533067604</v>
      </c>
      <c r="F17" s="897">
        <v>1.9719101266333752</v>
      </c>
      <c r="G17" s="897">
        <v>1.2628400227366816</v>
      </c>
      <c r="H17" s="897">
        <v>0.82623893313941865</v>
      </c>
      <c r="I17" s="897">
        <v>0.9082845067178531</v>
      </c>
      <c r="J17" s="897">
        <v>0.42163613298200731</v>
      </c>
      <c r="K17" s="897">
        <v>12.168623664955756</v>
      </c>
      <c r="L17" s="896">
        <v>7.0755811077955325E-2</v>
      </c>
      <c r="M17" s="897">
        <v>52.396429188660328</v>
      </c>
      <c r="N17" s="897">
        <v>5.724070873437789</v>
      </c>
      <c r="O17" s="896">
        <v>55.7985632825851</v>
      </c>
      <c r="P17" s="896">
        <v>16.678436370741149</v>
      </c>
      <c r="Q17" s="11" t="s">
        <v>199</v>
      </c>
      <c r="R17" s="11"/>
      <c r="S17" s="11"/>
      <c r="T17" s="11"/>
      <c r="U17" s="11"/>
      <c r="V17" s="11"/>
      <c r="W17" s="11"/>
      <c r="X17" s="11"/>
      <c r="Y17" s="11"/>
      <c r="Z17" s="11"/>
      <c r="AA17" s="142"/>
      <c r="AB17" s="873">
        <v>276</v>
      </c>
      <c r="AC17" s="873" t="s">
        <v>268</v>
      </c>
      <c r="AD17" s="903"/>
      <c r="AE17" s="895"/>
      <c r="AF17" s="902"/>
      <c r="AG17" s="902"/>
      <c r="AH17" s="902"/>
      <c r="AI17" s="902"/>
      <c r="AJ17" s="902"/>
      <c r="AK17" s="902"/>
      <c r="AL17" s="902"/>
      <c r="AM17" s="902"/>
      <c r="AN17" s="902"/>
      <c r="AO17" s="902"/>
      <c r="AP17" s="878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</row>
    <row r="18" spans="1:64" s="14" customFormat="1" ht="18">
      <c r="A18" s="468">
        <v>292</v>
      </c>
      <c r="B18" s="113"/>
      <c r="C18" s="10" t="s">
        <v>221</v>
      </c>
      <c r="D18" s="897">
        <v>2.3144921788760597</v>
      </c>
      <c r="E18" s="897">
        <v>2.6892040456452824</v>
      </c>
      <c r="F18" s="896">
        <v>0.86066067862124263</v>
      </c>
      <c r="G18" s="897">
        <v>1.81239869829578</v>
      </c>
      <c r="H18" s="897">
        <v>0.94762409158465477</v>
      </c>
      <c r="I18" s="897">
        <v>2.2330149018543</v>
      </c>
      <c r="J18" s="897">
        <v>0.34489499951988861</v>
      </c>
      <c r="K18" s="897">
        <v>2.6079980153545574</v>
      </c>
      <c r="L18" s="896">
        <v>0.15318272794107304</v>
      </c>
      <c r="M18" s="897">
        <v>35.984210780416916</v>
      </c>
      <c r="N18" s="897">
        <v>16.392967487095895</v>
      </c>
      <c r="O18" s="897">
        <v>136.18976832042705</v>
      </c>
      <c r="P18" s="897">
        <v>36.957268054916696</v>
      </c>
      <c r="Q18" s="11" t="s">
        <v>199</v>
      </c>
      <c r="R18" s="11"/>
      <c r="S18" s="11"/>
      <c r="T18" s="11"/>
      <c r="U18" s="11"/>
      <c r="V18" s="11"/>
      <c r="W18" s="11"/>
      <c r="X18" s="11"/>
      <c r="Y18" s="11"/>
      <c r="Z18" s="11"/>
      <c r="AA18" s="142"/>
      <c r="AB18" s="873">
        <v>277</v>
      </c>
      <c r="AC18" s="873" t="s">
        <v>268</v>
      </c>
      <c r="AD18" s="887"/>
      <c r="AE18" s="895"/>
      <c r="AF18" s="902"/>
      <c r="AG18" s="902"/>
      <c r="AH18" s="902"/>
      <c r="AI18" s="902"/>
      <c r="AJ18" s="902"/>
      <c r="AK18" s="902"/>
      <c r="AL18" s="902"/>
      <c r="AM18" s="902"/>
      <c r="AN18" s="902"/>
      <c r="AO18" s="902"/>
      <c r="AP18" s="878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</row>
    <row r="19" spans="1:64" s="14" customFormat="1" ht="18">
      <c r="A19" s="468">
        <v>293</v>
      </c>
      <c r="B19" s="113"/>
      <c r="C19" s="38" t="s">
        <v>221</v>
      </c>
      <c r="D19" s="899">
        <v>4.799630881812293</v>
      </c>
      <c r="E19" s="894">
        <v>4.2267874898787641</v>
      </c>
      <c r="F19" s="897">
        <v>1.1355268967993373</v>
      </c>
      <c r="G19" s="897">
        <v>2.3164344184460002</v>
      </c>
      <c r="H19" s="897">
        <v>0.9060048298657617</v>
      </c>
      <c r="I19" s="897">
        <v>1.0906457948948525</v>
      </c>
      <c r="J19" s="897">
        <v>0.3385649531710665</v>
      </c>
      <c r="K19" s="897">
        <v>3.1208908599930645</v>
      </c>
      <c r="L19" s="896">
        <v>0.17450320865121177</v>
      </c>
      <c r="M19" s="897">
        <v>131.08423395953469</v>
      </c>
      <c r="N19" s="897">
        <v>10.415476822178777</v>
      </c>
      <c r="O19" s="896">
        <v>67.013890804516805</v>
      </c>
      <c r="P19" s="897">
        <v>20.175421066029607</v>
      </c>
      <c r="Q19" s="11" t="s">
        <v>199</v>
      </c>
      <c r="R19" s="11"/>
      <c r="S19" s="11"/>
      <c r="T19" s="11"/>
      <c r="U19" s="11"/>
      <c r="V19" s="11"/>
      <c r="W19" s="11"/>
      <c r="X19" s="11"/>
      <c r="Y19" s="11"/>
      <c r="Z19" s="11"/>
      <c r="AA19" s="142"/>
      <c r="AB19" s="873">
        <v>278</v>
      </c>
      <c r="AC19" s="873" t="s">
        <v>268</v>
      </c>
      <c r="AD19" s="887"/>
      <c r="AE19" s="902"/>
      <c r="AF19" s="902"/>
      <c r="AG19" s="902"/>
      <c r="AH19" s="902"/>
      <c r="AI19" s="902"/>
      <c r="AJ19" s="902"/>
      <c r="AK19" s="902"/>
      <c r="AL19" s="902"/>
      <c r="AM19" s="902"/>
      <c r="AN19" s="902"/>
      <c r="AO19" s="902"/>
      <c r="AP19" s="878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</row>
    <row r="20" spans="1:64" s="14" customFormat="1" ht="18">
      <c r="A20" s="468">
        <v>294</v>
      </c>
      <c r="B20" s="113"/>
      <c r="C20" s="10" t="s">
        <v>221</v>
      </c>
      <c r="D20" s="894">
        <v>12.81424517856343</v>
      </c>
      <c r="E20" s="895">
        <v>6.0179706111990585</v>
      </c>
      <c r="F20" s="894">
        <v>2.1293299695942247</v>
      </c>
      <c r="G20" s="897">
        <v>1.2497508466062799</v>
      </c>
      <c r="H20" s="897">
        <v>1.3930555072554354</v>
      </c>
      <c r="I20" s="897">
        <v>1.6964413570377661</v>
      </c>
      <c r="J20" s="897">
        <v>0.372099843373004</v>
      </c>
      <c r="K20" s="897">
        <v>2.9142806600190463</v>
      </c>
      <c r="L20" s="896">
        <v>0.11240480334293947</v>
      </c>
      <c r="M20" s="897">
        <v>79.162174967194161</v>
      </c>
      <c r="N20" s="897">
        <v>16.334189203892276</v>
      </c>
      <c r="O20" s="897">
        <v>157.32816616643609</v>
      </c>
      <c r="P20" s="897">
        <v>28.49520006766209</v>
      </c>
      <c r="Q20" s="11" t="s">
        <v>199</v>
      </c>
      <c r="R20" s="11"/>
      <c r="S20" s="11"/>
      <c r="T20" s="11"/>
      <c r="U20" s="11"/>
      <c r="V20" s="11"/>
      <c r="W20" s="11"/>
      <c r="X20" s="11"/>
      <c r="Y20" s="11"/>
      <c r="Z20" s="11"/>
      <c r="AA20" s="142"/>
      <c r="AB20" s="874">
        <v>286</v>
      </c>
      <c r="AC20" s="873" t="s">
        <v>268</v>
      </c>
      <c r="AD20" s="887"/>
      <c r="AE20" s="902"/>
      <c r="AF20" s="902"/>
      <c r="AG20" s="902"/>
      <c r="AH20" s="902"/>
      <c r="AI20" s="902"/>
      <c r="AJ20" s="902"/>
      <c r="AK20" s="902"/>
      <c r="AL20" s="902"/>
      <c r="AM20" s="902"/>
      <c r="AN20" s="902"/>
      <c r="AO20" s="902"/>
      <c r="AP20" s="878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</row>
    <row r="21" spans="1:64" s="14" customFormat="1" ht="16.899999999999999" customHeight="1">
      <c r="A21" s="336">
        <v>284</v>
      </c>
      <c r="B21" s="127"/>
      <c r="C21" s="13" t="s">
        <v>221</v>
      </c>
      <c r="D21" s="897">
        <v>2.9333465308610958</v>
      </c>
      <c r="E21" s="897">
        <v>2.1380779346645178</v>
      </c>
      <c r="F21" s="897">
        <v>1.3719549148807628</v>
      </c>
      <c r="G21" s="897">
        <v>2.3608646032150769</v>
      </c>
      <c r="H21" s="897">
        <v>0.86324925542987918</v>
      </c>
      <c r="I21" s="897">
        <v>2.2901995859763291</v>
      </c>
      <c r="J21" s="897">
        <v>0.36134051848195775</v>
      </c>
      <c r="K21" s="897">
        <v>4.6894537144471657</v>
      </c>
      <c r="L21" s="897">
        <v>0.32046724262189547</v>
      </c>
      <c r="M21" s="897">
        <v>72.934887150112843</v>
      </c>
      <c r="N21" s="897">
        <v>7.8376299856466733</v>
      </c>
      <c r="O21" s="896">
        <v>57.553001007421983</v>
      </c>
      <c r="P21" s="897">
        <v>35.2736162491302</v>
      </c>
      <c r="Q21" s="11" t="s">
        <v>199</v>
      </c>
      <c r="R21" s="11"/>
      <c r="S21" s="11"/>
      <c r="T21" s="11"/>
      <c r="U21" s="11"/>
      <c r="V21" s="11"/>
      <c r="W21" s="11"/>
      <c r="X21" s="11"/>
      <c r="Y21" s="11"/>
      <c r="Z21" s="11"/>
      <c r="AA21" s="142"/>
      <c r="AB21" s="873">
        <v>291</v>
      </c>
      <c r="AC21" s="873" t="s">
        <v>268</v>
      </c>
      <c r="AD21" s="903"/>
      <c r="AE21" s="902"/>
      <c r="AF21" s="902"/>
      <c r="AG21" s="902"/>
      <c r="AH21" s="902"/>
      <c r="AI21" s="902"/>
      <c r="AJ21" s="902"/>
      <c r="AK21" s="902"/>
      <c r="AL21" s="896"/>
      <c r="AM21" s="902"/>
      <c r="AN21" s="902"/>
      <c r="AO21" s="896"/>
      <c r="AP21" s="904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</row>
    <row r="22" spans="1:64" s="10" customFormat="1" ht="18">
      <c r="A22" s="336">
        <v>285</v>
      </c>
      <c r="B22" s="127"/>
      <c r="C22" s="13" t="s">
        <v>389</v>
      </c>
      <c r="D22" s="897">
        <v>3.657769852765913</v>
      </c>
      <c r="E22" s="897">
        <v>3.0752639389712257</v>
      </c>
      <c r="F22" s="897">
        <v>1.1894165591489212</v>
      </c>
      <c r="G22" s="897">
        <v>2.8073211171260493</v>
      </c>
      <c r="H22" s="897">
        <v>0.70646227919676696</v>
      </c>
      <c r="I22" s="897">
        <v>0.98256026498925753</v>
      </c>
      <c r="J22" s="897">
        <v>0.78861367584367237</v>
      </c>
      <c r="K22" s="897">
        <v>5.1651131260654068</v>
      </c>
      <c r="L22" s="896">
        <v>0.1449385829774921</v>
      </c>
      <c r="M22" s="897">
        <v>112.57302041656195</v>
      </c>
      <c r="N22" s="897">
        <v>27.460086887081999</v>
      </c>
      <c r="O22" s="897">
        <v>93.992167437939727</v>
      </c>
      <c r="P22" s="897">
        <v>46.349165963368293</v>
      </c>
      <c r="Q22" s="11" t="s">
        <v>199</v>
      </c>
      <c r="R22" s="11"/>
      <c r="S22" s="11"/>
      <c r="T22" s="11"/>
      <c r="U22" s="11"/>
      <c r="V22" s="11"/>
      <c r="W22" s="11"/>
      <c r="X22" s="11"/>
      <c r="Y22" s="11"/>
      <c r="Z22" s="11"/>
      <c r="AA22" s="142"/>
      <c r="AB22" s="873">
        <v>292</v>
      </c>
      <c r="AC22" s="873" t="s">
        <v>268</v>
      </c>
      <c r="AD22" s="887"/>
      <c r="AE22" s="902"/>
      <c r="AF22" s="896"/>
      <c r="AG22" s="902"/>
      <c r="AH22" s="902"/>
      <c r="AI22" s="902"/>
      <c r="AJ22" s="902"/>
      <c r="AK22" s="902"/>
      <c r="AL22" s="896"/>
      <c r="AM22" s="902"/>
      <c r="AN22" s="902"/>
      <c r="AO22" s="902"/>
      <c r="AP22" s="878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</row>
    <row r="23" spans="1:64" s="13" customFormat="1" ht="18">
      <c r="A23" s="336">
        <v>259</v>
      </c>
      <c r="B23" s="126"/>
      <c r="C23" s="37" t="s">
        <v>221</v>
      </c>
      <c r="D23" s="897">
        <v>3.380909629929461</v>
      </c>
      <c r="E23" s="897">
        <v>1.6164265199216539</v>
      </c>
      <c r="F23" s="895">
        <v>2.0915950018521903</v>
      </c>
      <c r="G23" s="897">
        <v>3.0783439545436311</v>
      </c>
      <c r="H23" s="897">
        <v>0.8888915245536686</v>
      </c>
      <c r="I23" s="897">
        <v>1.5587458297179186</v>
      </c>
      <c r="J23" s="897">
        <v>0.379847148816921</v>
      </c>
      <c r="K23" s="897">
        <v>6.5070525619071349</v>
      </c>
      <c r="L23" s="896">
        <v>7.9529306510890574E-2</v>
      </c>
      <c r="M23" s="897">
        <v>61.009468312008657</v>
      </c>
      <c r="N23" s="897">
        <v>15.824537040232228</v>
      </c>
      <c r="O23" s="897">
        <v>82.921630519779086</v>
      </c>
      <c r="P23" s="897">
        <v>45.102048387138368</v>
      </c>
      <c r="Q23" s="11" t="s">
        <v>199</v>
      </c>
      <c r="R23" s="11"/>
      <c r="S23" s="11"/>
      <c r="T23" s="11"/>
      <c r="U23" s="11"/>
      <c r="V23" s="11"/>
      <c r="W23" s="11"/>
      <c r="X23" s="11"/>
      <c r="Y23" s="11"/>
      <c r="Z23" s="11"/>
      <c r="AA23" s="142"/>
      <c r="AB23" s="873">
        <v>293</v>
      </c>
      <c r="AC23" s="873" t="s">
        <v>268</v>
      </c>
      <c r="AD23" s="887"/>
      <c r="AE23" s="894"/>
      <c r="AF23" s="902"/>
      <c r="AG23" s="902"/>
      <c r="AH23" s="902"/>
      <c r="AI23" s="902"/>
      <c r="AJ23" s="902"/>
      <c r="AK23" s="902"/>
      <c r="AL23" s="896"/>
      <c r="AM23" s="902"/>
      <c r="AN23" s="902"/>
      <c r="AO23" s="896"/>
      <c r="AP23" s="878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</row>
    <row r="24" spans="1:64" s="13" customFormat="1" ht="18.399999999999999" thickBot="1">
      <c r="A24" s="336">
        <v>288</v>
      </c>
      <c r="B24" s="127"/>
      <c r="C24" s="37" t="s">
        <v>221</v>
      </c>
      <c r="D24" s="897">
        <v>1.8280925464203408</v>
      </c>
      <c r="E24" s="897">
        <v>1.9164797667458191</v>
      </c>
      <c r="F24" s="896">
        <v>0.95388043126823108</v>
      </c>
      <c r="G24" s="897">
        <v>2.9059775297495234</v>
      </c>
      <c r="H24" s="897">
        <v>0.59613308508202889</v>
      </c>
      <c r="I24" s="896">
        <v>0.29779029298216692</v>
      </c>
      <c r="J24" s="897">
        <v>0.59275929486945933</v>
      </c>
      <c r="K24" s="897">
        <v>5.4217305771106341</v>
      </c>
      <c r="L24" s="896">
        <v>0.18690710334362706</v>
      </c>
      <c r="M24" s="897">
        <v>315.67084187781995</v>
      </c>
      <c r="N24" s="897">
        <v>21.521842603490096</v>
      </c>
      <c r="O24" s="897">
        <v>112.27768790902417</v>
      </c>
      <c r="P24" s="897">
        <v>22.008636759427755</v>
      </c>
      <c r="Q24" s="11" t="s">
        <v>199</v>
      </c>
      <c r="R24" s="11"/>
      <c r="S24" s="11"/>
      <c r="T24" s="11"/>
      <c r="U24" s="11"/>
      <c r="V24" s="11"/>
      <c r="W24" s="11"/>
      <c r="X24" s="11"/>
      <c r="Y24" s="11"/>
      <c r="Z24" s="11"/>
      <c r="AA24" s="142"/>
      <c r="AB24" s="879">
        <v>294</v>
      </c>
      <c r="AC24" s="875" t="s">
        <v>268</v>
      </c>
      <c r="AD24" s="905"/>
      <c r="AE24" s="906"/>
      <c r="AF24" s="907"/>
      <c r="AG24" s="880"/>
      <c r="AH24" s="880"/>
      <c r="AI24" s="880"/>
      <c r="AJ24" s="880"/>
      <c r="AK24" s="880"/>
      <c r="AL24" s="908"/>
      <c r="AM24" s="880"/>
      <c r="AN24" s="880"/>
      <c r="AO24" s="880"/>
      <c r="AP24" s="88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</row>
    <row r="25" spans="1:64" s="13" customFormat="1" ht="18">
      <c r="A25" s="336">
        <v>289</v>
      </c>
      <c r="B25" s="127"/>
      <c r="C25" s="37" t="s">
        <v>221</v>
      </c>
      <c r="D25" s="896">
        <v>1.0870449410907366</v>
      </c>
      <c r="E25" s="897">
        <v>2.6416414817671838</v>
      </c>
      <c r="F25" s="896">
        <v>0.4115035854008221</v>
      </c>
      <c r="G25" s="897">
        <v>2.173562282400396</v>
      </c>
      <c r="H25" s="897">
        <v>1.2376327232748925</v>
      </c>
      <c r="I25" s="897">
        <v>2.5697708555365608</v>
      </c>
      <c r="J25" s="897">
        <v>0.41174850027476351</v>
      </c>
      <c r="K25" s="897">
        <v>2.6042764833173537</v>
      </c>
      <c r="L25" s="896">
        <v>2.8759401530603412E-2</v>
      </c>
      <c r="M25" s="897">
        <v>61.923916244401191</v>
      </c>
      <c r="N25" s="897">
        <v>7.4450914582510439</v>
      </c>
      <c r="O25" s="896">
        <v>42.3035634724055</v>
      </c>
      <c r="P25" s="896">
        <v>15.415674576155398</v>
      </c>
      <c r="Q25" s="11" t="s">
        <v>199</v>
      </c>
      <c r="R25" s="11"/>
      <c r="S25" s="11"/>
      <c r="T25" s="11"/>
      <c r="U25" s="11"/>
      <c r="V25" s="11"/>
      <c r="W25" s="11"/>
      <c r="X25" s="11"/>
      <c r="Y25" s="11"/>
      <c r="Z25" s="11"/>
      <c r="AA25" s="142"/>
      <c r="AB25" s="872">
        <v>284</v>
      </c>
      <c r="AC25" s="872" t="s">
        <v>528</v>
      </c>
      <c r="AD25" s="888"/>
      <c r="AE25" s="876"/>
      <c r="AF25" s="876"/>
      <c r="AG25" s="876"/>
      <c r="AH25" s="876"/>
      <c r="AI25" s="876"/>
      <c r="AJ25" s="876"/>
      <c r="AK25" s="876"/>
      <c r="AL25" s="876"/>
      <c r="AM25" s="876"/>
      <c r="AN25" s="876"/>
      <c r="AO25" s="901"/>
      <c r="AP25" s="877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</row>
    <row r="26" spans="1:64" s="13" customFormat="1" ht="18">
      <c r="A26" s="336">
        <v>290</v>
      </c>
      <c r="B26" s="127"/>
      <c r="C26" s="37" t="s">
        <v>221</v>
      </c>
      <c r="D26" s="897">
        <v>3.9706610096361827</v>
      </c>
      <c r="E26" s="897">
        <v>2.0307068462581515</v>
      </c>
      <c r="F26" s="897">
        <v>1.955309806017868</v>
      </c>
      <c r="G26" s="897">
        <v>1.8840600128202971</v>
      </c>
      <c r="H26" s="897">
        <v>1.1431718540319602</v>
      </c>
      <c r="I26" s="897">
        <v>1.8771153350809757</v>
      </c>
      <c r="J26" s="897">
        <v>0.47686516263802342</v>
      </c>
      <c r="K26" s="897">
        <v>6.6184225133875279</v>
      </c>
      <c r="L26" s="896">
        <v>0.10300098664221406</v>
      </c>
      <c r="M26" s="897">
        <v>78.546321962083681</v>
      </c>
      <c r="N26" s="897">
        <v>22.530927419115439</v>
      </c>
      <c r="O26" s="896">
        <v>74.91694400613676</v>
      </c>
      <c r="P26" s="897">
        <v>41.586261670557406</v>
      </c>
      <c r="Q26" s="11" t="s">
        <v>199</v>
      </c>
      <c r="R26" s="11"/>
      <c r="S26" s="11"/>
      <c r="T26" s="11"/>
      <c r="U26" s="11"/>
      <c r="V26" s="11"/>
      <c r="W26" s="11"/>
      <c r="X26" s="11"/>
      <c r="Y26" s="11"/>
      <c r="Z26" s="11"/>
      <c r="AA26" s="142"/>
      <c r="AB26" s="873">
        <v>285</v>
      </c>
      <c r="AC26" s="873" t="s">
        <v>528</v>
      </c>
      <c r="AD26" s="887"/>
      <c r="AE26" s="902"/>
      <c r="AF26" s="902"/>
      <c r="AG26" s="902"/>
      <c r="AH26" s="902"/>
      <c r="AI26" s="902"/>
      <c r="AJ26" s="902"/>
      <c r="AK26" s="902"/>
      <c r="AL26" s="896"/>
      <c r="AM26" s="902"/>
      <c r="AN26" s="902"/>
      <c r="AO26" s="902"/>
      <c r="AP26" s="878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</row>
    <row r="27" spans="1:64" s="13" customFormat="1" ht="18">
      <c r="A27" s="353">
        <v>300</v>
      </c>
      <c r="B27" s="123"/>
      <c r="C27" s="36" t="s">
        <v>221</v>
      </c>
      <c r="D27" s="896">
        <v>0.86243836569006949</v>
      </c>
      <c r="E27" s="896">
        <v>0.76710561988773274</v>
      </c>
      <c r="F27" s="897">
        <v>1.1242759058606413</v>
      </c>
      <c r="G27" s="897">
        <v>1.445803777944596</v>
      </c>
      <c r="H27" s="896">
        <v>0.20758807877248717</v>
      </c>
      <c r="I27" s="896">
        <v>0.18853542206046511</v>
      </c>
      <c r="J27" s="897">
        <v>0.2166375347004959</v>
      </c>
      <c r="K27" s="897">
        <v>2.8711844586485382</v>
      </c>
      <c r="L27" s="897"/>
      <c r="M27" s="897">
        <v>19.798363536978268</v>
      </c>
      <c r="N27" s="897">
        <v>9.9577888640703698</v>
      </c>
      <c r="O27" s="896">
        <v>57.54011465060745</v>
      </c>
      <c r="P27" s="897">
        <v>18.515219349308232</v>
      </c>
      <c r="Q27" s="11" t="s">
        <v>199</v>
      </c>
      <c r="R27" s="11"/>
      <c r="S27" s="11"/>
      <c r="T27" s="11"/>
      <c r="U27" s="11"/>
      <c r="V27" s="11"/>
      <c r="W27" s="11"/>
      <c r="X27" s="11"/>
      <c r="Y27" s="11"/>
      <c r="Z27" s="11"/>
      <c r="AA27" s="142"/>
      <c r="AB27" s="874">
        <v>259</v>
      </c>
      <c r="AC27" s="873" t="s">
        <v>528</v>
      </c>
      <c r="AD27" s="887"/>
      <c r="AE27" s="902"/>
      <c r="AF27" s="895"/>
      <c r="AG27" s="902"/>
      <c r="AH27" s="902"/>
      <c r="AI27" s="902"/>
      <c r="AJ27" s="902"/>
      <c r="AK27" s="902"/>
      <c r="AL27" s="896"/>
      <c r="AM27" s="902"/>
      <c r="AN27" s="902"/>
      <c r="AO27" s="902"/>
      <c r="AP27" s="878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</row>
    <row r="28" spans="1:64" s="10" customFormat="1" ht="18">
      <c r="A28" s="353">
        <v>279</v>
      </c>
      <c r="B28" s="123"/>
      <c r="C28" s="14" t="s">
        <v>341</v>
      </c>
      <c r="D28" s="896">
        <v>0.94991386402869304</v>
      </c>
      <c r="E28" s="896">
        <v>0.5116529424051568</v>
      </c>
      <c r="F28" s="897">
        <v>1.8565589783640801</v>
      </c>
      <c r="G28" s="897">
        <v>1.4349927917914429</v>
      </c>
      <c r="H28" s="897">
        <v>0.91751384284197113</v>
      </c>
      <c r="I28" s="897">
        <v>1.8555219801223939</v>
      </c>
      <c r="J28" s="897">
        <v>0.23222203524954496</v>
      </c>
      <c r="K28" s="897">
        <v>4.7488070907258084</v>
      </c>
      <c r="L28" s="896">
        <v>0.2535058018309031</v>
      </c>
      <c r="M28" s="897">
        <v>38.559573177339566</v>
      </c>
      <c r="N28" s="897">
        <v>15.924772821342636</v>
      </c>
      <c r="O28" s="896">
        <v>31.836078968033064</v>
      </c>
      <c r="P28" s="897">
        <v>41.130096699907526</v>
      </c>
      <c r="Q28" s="11" t="s">
        <v>199</v>
      </c>
      <c r="R28" s="11"/>
      <c r="S28" s="11" t="s">
        <v>529</v>
      </c>
      <c r="T28" s="11"/>
      <c r="U28" s="11"/>
      <c r="V28" s="11"/>
      <c r="W28" s="11"/>
      <c r="X28" s="11"/>
      <c r="Y28" s="11"/>
      <c r="Z28" s="11"/>
      <c r="AA28" s="142"/>
      <c r="AB28" s="874">
        <v>288</v>
      </c>
      <c r="AC28" s="873" t="s">
        <v>528</v>
      </c>
      <c r="AD28" s="887"/>
      <c r="AE28" s="902"/>
      <c r="AF28" s="896"/>
      <c r="AG28" s="902"/>
      <c r="AH28" s="902"/>
      <c r="AI28" s="896"/>
      <c r="AJ28" s="902"/>
      <c r="AK28" s="902"/>
      <c r="AL28" s="896"/>
      <c r="AM28" s="902"/>
      <c r="AN28" s="902"/>
      <c r="AO28" s="902"/>
      <c r="AP28" s="878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</row>
    <row r="29" spans="1:64" s="10" customFormat="1" ht="18">
      <c r="A29" s="353">
        <v>280</v>
      </c>
      <c r="B29" s="123"/>
      <c r="C29" s="14" t="s">
        <v>341</v>
      </c>
      <c r="D29" s="896">
        <v>1.1851844548216799</v>
      </c>
      <c r="E29" s="896">
        <v>0.80239076121073671</v>
      </c>
      <c r="F29" s="897">
        <v>1.4770664271275222</v>
      </c>
      <c r="G29" s="897">
        <v>1.4946496414764501</v>
      </c>
      <c r="H29" s="897">
        <v>0.86455455561028305</v>
      </c>
      <c r="I29" s="897">
        <v>2.6552973670122828</v>
      </c>
      <c r="J29" s="897">
        <v>0.22777771510567058</v>
      </c>
      <c r="K29" s="897">
        <v>4.699897612847403</v>
      </c>
      <c r="L29" s="897">
        <v>0.45865352879216209</v>
      </c>
      <c r="M29" s="897">
        <v>26.997431820348311</v>
      </c>
      <c r="N29" s="897">
        <v>19.822203742587252</v>
      </c>
      <c r="O29" s="896">
        <v>34.716755495872775</v>
      </c>
      <c r="P29" s="897">
        <v>40.951322124420649</v>
      </c>
      <c r="Q29" s="11" t="s">
        <v>199</v>
      </c>
      <c r="R29" s="11"/>
      <c r="S29" s="11"/>
      <c r="T29" s="11"/>
      <c r="U29" s="11"/>
      <c r="V29" s="11"/>
      <c r="W29" s="11"/>
      <c r="X29" s="11"/>
      <c r="Y29" s="11"/>
      <c r="Z29" s="11"/>
      <c r="AA29" s="142"/>
      <c r="AB29" s="873">
        <v>289</v>
      </c>
      <c r="AC29" s="873" t="s">
        <v>528</v>
      </c>
      <c r="AD29" s="909"/>
      <c r="AE29" s="902"/>
      <c r="AF29" s="896"/>
      <c r="AG29" s="902"/>
      <c r="AH29" s="902"/>
      <c r="AI29" s="902"/>
      <c r="AJ29" s="902"/>
      <c r="AK29" s="902"/>
      <c r="AL29" s="896"/>
      <c r="AM29" s="902"/>
      <c r="AN29" s="902"/>
      <c r="AO29" s="896"/>
      <c r="AP29" s="904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</row>
    <row r="30" spans="1:64" s="10" customFormat="1" ht="18.399999999999999" thickBot="1">
      <c r="A30" s="353">
        <v>281</v>
      </c>
      <c r="B30" s="123"/>
      <c r="C30" s="14" t="s">
        <v>341</v>
      </c>
      <c r="D30" s="897">
        <v>1.3374955015176899</v>
      </c>
      <c r="E30" s="896">
        <v>0.95314596128568618</v>
      </c>
      <c r="F30" s="897">
        <v>1.4032431084464281</v>
      </c>
      <c r="G30" s="897">
        <v>1.9473372710713779</v>
      </c>
      <c r="H30" s="897">
        <v>0.38643358683585005</v>
      </c>
      <c r="I30" s="897">
        <v>1.3226863911434628</v>
      </c>
      <c r="J30" s="897">
        <v>0.23064581662537437</v>
      </c>
      <c r="K30" s="897">
        <v>2.9031776281147681</v>
      </c>
      <c r="L30" s="896">
        <v>0.24789585305778589</v>
      </c>
      <c r="M30" s="897">
        <v>33.804739046539353</v>
      </c>
      <c r="N30" s="897">
        <v>13.194266636658586</v>
      </c>
      <c r="O30" s="897">
        <v>95.721643424949121</v>
      </c>
      <c r="P30" s="897">
        <v>47.938550104437113</v>
      </c>
      <c r="Q30" s="11" t="s">
        <v>199</v>
      </c>
      <c r="R30" s="11"/>
      <c r="S30" s="11"/>
      <c r="T30" s="11"/>
      <c r="U30" s="11"/>
      <c r="V30" s="11"/>
      <c r="W30" s="11"/>
      <c r="X30" s="11"/>
      <c r="Y30" s="11"/>
      <c r="Z30" s="11"/>
      <c r="AA30" s="142"/>
      <c r="AB30" s="875">
        <v>290</v>
      </c>
      <c r="AC30" s="873" t="s">
        <v>528</v>
      </c>
      <c r="AD30" s="887"/>
      <c r="AE30" s="902"/>
      <c r="AF30" s="902"/>
      <c r="AG30" s="902"/>
      <c r="AH30" s="902"/>
      <c r="AI30" s="902"/>
      <c r="AJ30" s="902"/>
      <c r="AK30" s="902"/>
      <c r="AL30" s="896"/>
      <c r="AM30" s="902"/>
      <c r="AN30" s="902"/>
      <c r="AO30" s="896"/>
      <c r="AP30" s="878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</row>
    <row r="31" spans="1:64" s="10" customFormat="1" ht="18">
      <c r="A31" s="353">
        <v>282</v>
      </c>
      <c r="B31" s="123"/>
      <c r="C31" s="14" t="s">
        <v>210</v>
      </c>
      <c r="D31" s="896">
        <v>0.76173929655232897</v>
      </c>
      <c r="E31" s="896">
        <v>0.58544078285410284</v>
      </c>
      <c r="F31" s="897">
        <v>1.3011380806761481</v>
      </c>
      <c r="G31" s="897">
        <v>1.4213692856072457</v>
      </c>
      <c r="H31" s="897">
        <v>0.4332162004413227</v>
      </c>
      <c r="I31" s="897">
        <v>1.4880309342903968</v>
      </c>
      <c r="J31" s="897">
        <v>0.21031976101370403</v>
      </c>
      <c r="K31" s="897">
        <v>2.4560939716340728</v>
      </c>
      <c r="L31" s="897">
        <v>0.27598086355277029</v>
      </c>
      <c r="M31" s="897">
        <v>44.016598749140265</v>
      </c>
      <c r="N31" s="897">
        <v>8.1217273720014056</v>
      </c>
      <c r="O31" s="896">
        <v>63.19039659712297</v>
      </c>
      <c r="P31" s="897">
        <v>30.927661611723398</v>
      </c>
      <c r="Q31" s="11" t="s">
        <v>199</v>
      </c>
      <c r="R31" s="11"/>
      <c r="S31" s="11"/>
      <c r="T31" s="11"/>
      <c r="U31" s="11"/>
      <c r="V31" s="11"/>
      <c r="W31" s="11"/>
      <c r="X31" s="11"/>
      <c r="Y31" s="11"/>
      <c r="Z31" s="11"/>
      <c r="AA31" s="142"/>
      <c r="AB31" s="889">
        <v>300</v>
      </c>
      <c r="AC31" s="889" t="s">
        <v>530</v>
      </c>
      <c r="AD31" s="953" t="s">
        <v>531</v>
      </c>
      <c r="AE31" s="955" t="s">
        <v>531</v>
      </c>
      <c r="AF31" s="876"/>
      <c r="AG31" s="876"/>
      <c r="AH31" s="901"/>
      <c r="AI31" s="901"/>
      <c r="AJ31" s="876"/>
      <c r="AK31" s="876"/>
      <c r="AL31" s="876"/>
      <c r="AM31" s="876"/>
      <c r="AN31" s="876"/>
      <c r="AO31" s="901"/>
      <c r="AP31" s="877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</row>
    <row r="32" spans="1:64" s="14" customFormat="1" ht="18">
      <c r="A32" s="353">
        <v>283</v>
      </c>
      <c r="B32" s="123"/>
      <c r="C32" s="14" t="s">
        <v>210</v>
      </c>
      <c r="D32" s="897">
        <v>1.26881379778176</v>
      </c>
      <c r="E32" s="897">
        <v>1.0271213717216729</v>
      </c>
      <c r="F32" s="897">
        <v>1.2353104829811463</v>
      </c>
      <c r="G32" s="897">
        <v>1.9519550178424998</v>
      </c>
      <c r="H32" s="897">
        <v>0.52872824178226574</v>
      </c>
      <c r="I32" s="897">
        <v>2.1152777465618389</v>
      </c>
      <c r="J32" s="897">
        <v>0.18071349147056276</v>
      </c>
      <c r="K32" s="897">
        <v>4.0697116570845191</v>
      </c>
      <c r="L32" s="897">
        <v>0.27051684584755586</v>
      </c>
      <c r="M32" s="897">
        <v>41.589026520669293</v>
      </c>
      <c r="N32" s="897">
        <v>13.633201052463686</v>
      </c>
      <c r="O32" s="897">
        <v>82.281729770891602</v>
      </c>
      <c r="P32" s="897">
        <v>43.477637208811174</v>
      </c>
      <c r="Q32" s="861" t="s">
        <v>211</v>
      </c>
      <c r="R32" s="11"/>
      <c r="S32" s="11"/>
      <c r="T32" s="11"/>
      <c r="U32" s="11"/>
      <c r="V32" s="11"/>
      <c r="W32" s="11"/>
      <c r="X32" s="11"/>
      <c r="Y32" s="11"/>
      <c r="Z32" s="11"/>
      <c r="AA32" s="142"/>
      <c r="AB32" s="890">
        <v>279</v>
      </c>
      <c r="AC32" s="890" t="s">
        <v>530</v>
      </c>
      <c r="AD32" s="956" t="s">
        <v>531</v>
      </c>
      <c r="AE32" s="954" t="s">
        <v>531</v>
      </c>
      <c r="AF32" s="902"/>
      <c r="AG32" s="902"/>
      <c r="AH32" s="902"/>
      <c r="AI32" s="902"/>
      <c r="AJ32" s="902"/>
      <c r="AK32" s="902"/>
      <c r="AL32" s="896"/>
      <c r="AM32" s="902"/>
      <c r="AN32" s="902"/>
      <c r="AO32" s="896"/>
      <c r="AP32" s="878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</row>
    <row r="33" spans="2:42" ht="18">
      <c r="B33" s="11" t="s">
        <v>532</v>
      </c>
      <c r="C33" s="117" t="s">
        <v>505</v>
      </c>
      <c r="D33" s="742">
        <f>AVERAGE(D2:D32)</f>
        <v>3.6176014589932719</v>
      </c>
      <c r="E33" s="51">
        <f t="shared" ref="E33:P33" si="0">AVERAGE(E2:E32)</f>
        <v>2.5217222289075911</v>
      </c>
      <c r="F33" s="51">
        <f t="shared" si="0"/>
        <v>1.392393517848235</v>
      </c>
      <c r="G33" s="51">
        <f t="shared" si="0"/>
        <v>1.8841834161983269</v>
      </c>
      <c r="H33" s="51">
        <f t="shared" si="0"/>
        <v>0.92696852772593519</v>
      </c>
      <c r="I33" s="51">
        <f t="shared" si="0"/>
        <v>1.7249473373694133</v>
      </c>
      <c r="J33" s="51">
        <f t="shared" si="0"/>
        <v>0.33365935093439159</v>
      </c>
      <c r="K33" s="51">
        <f t="shared" si="0"/>
        <v>4.4913309803475086</v>
      </c>
      <c r="L33" s="51">
        <f t="shared" si="0"/>
        <v>0.25370705518129416</v>
      </c>
      <c r="M33" s="51">
        <f t="shared" si="0"/>
        <v>80.970356282502763</v>
      </c>
      <c r="N33" s="51">
        <f t="shared" si="0"/>
        <v>13.506813906194951</v>
      </c>
      <c r="O33" s="51">
        <f t="shared" si="0"/>
        <v>89.147751535735196</v>
      </c>
      <c r="P33" s="51">
        <f t="shared" si="0"/>
        <v>35.789763092411427</v>
      </c>
      <c r="AA33" s="142"/>
      <c r="AB33" s="890">
        <v>280</v>
      </c>
      <c r="AC33" s="890" t="s">
        <v>530</v>
      </c>
      <c r="AD33" s="956" t="s">
        <v>531</v>
      </c>
      <c r="AE33" s="954" t="s">
        <v>531</v>
      </c>
      <c r="AF33" s="902"/>
      <c r="AG33" s="902"/>
      <c r="AH33" s="902"/>
      <c r="AI33" s="902"/>
      <c r="AJ33" s="902"/>
      <c r="AK33" s="902"/>
      <c r="AL33" s="902"/>
      <c r="AM33" s="902"/>
      <c r="AN33" s="902"/>
      <c r="AO33" s="896"/>
      <c r="AP33" s="878"/>
    </row>
    <row r="34" spans="2:42" ht="18">
      <c r="B34" s="11" t="s">
        <v>533</v>
      </c>
      <c r="C34" s="117" t="s">
        <v>506</v>
      </c>
      <c r="D34" s="51">
        <f t="shared" ref="D34:P34" si="1">STDEV(D2:D32)</f>
        <v>2.7453691610540178</v>
      </c>
      <c r="E34" s="51">
        <f t="shared" si="1"/>
        <v>1.3403705890478954</v>
      </c>
      <c r="F34" s="51">
        <f t="shared" si="1"/>
        <v>0.40346592278616866</v>
      </c>
      <c r="G34" s="51">
        <f t="shared" si="1"/>
        <v>0.49734286120603649</v>
      </c>
      <c r="H34" s="51">
        <f t="shared" si="1"/>
        <v>0.44082094472425881</v>
      </c>
      <c r="I34" s="51">
        <f t="shared" si="1"/>
        <v>0.91999326958982819</v>
      </c>
      <c r="J34" s="51">
        <f t="shared" si="1"/>
        <v>0.12068889313353209</v>
      </c>
      <c r="K34" s="51">
        <f t="shared" si="1"/>
        <v>1.9547081102237451</v>
      </c>
      <c r="L34" s="51">
        <f t="shared" si="1"/>
        <v>0.15818814457307018</v>
      </c>
      <c r="M34" s="51">
        <f t="shared" si="1"/>
        <v>65.767259075160041</v>
      </c>
      <c r="N34" s="51">
        <f t="shared" si="1"/>
        <v>5.4677707611449069</v>
      </c>
      <c r="O34" s="51">
        <f t="shared" si="1"/>
        <v>33.944274419322163</v>
      </c>
      <c r="P34" s="51">
        <f t="shared" si="1"/>
        <v>11.306159240479145</v>
      </c>
      <c r="AA34" s="142"/>
      <c r="AB34" s="890">
        <v>281</v>
      </c>
      <c r="AC34" s="890" t="s">
        <v>530</v>
      </c>
      <c r="AD34" s="887"/>
      <c r="AE34" s="954" t="s">
        <v>531</v>
      </c>
      <c r="AF34" s="902"/>
      <c r="AG34" s="902"/>
      <c r="AH34" s="902"/>
      <c r="AI34" s="902"/>
      <c r="AJ34" s="902"/>
      <c r="AK34" s="902"/>
      <c r="AL34" s="896"/>
      <c r="AM34" s="902"/>
      <c r="AN34" s="902"/>
      <c r="AO34" s="902"/>
      <c r="AP34" s="878"/>
    </row>
    <row r="35" spans="2:42" ht="18">
      <c r="B35" s="11" t="s">
        <v>507</v>
      </c>
      <c r="C35" s="117" t="s">
        <v>507</v>
      </c>
      <c r="D35" s="51">
        <f t="shared" ref="D35" si="2">(D34/D33)*100</f>
        <v>75.88920980306149</v>
      </c>
      <c r="E35" s="51">
        <f t="shared" ref="E35:P35" si="3">(E34/E33)*100</f>
        <v>53.152983055891269</v>
      </c>
      <c r="F35" s="51">
        <f t="shared" si="3"/>
        <v>28.976429264743587</v>
      </c>
      <c r="G35" s="51">
        <f t="shared" si="3"/>
        <v>26.395671298790734</v>
      </c>
      <c r="H35" s="51">
        <f t="shared" si="3"/>
        <v>47.555114498406212</v>
      </c>
      <c r="I35" s="51">
        <f t="shared" si="3"/>
        <v>53.33457141902317</v>
      </c>
      <c r="J35" s="51">
        <f t="shared" si="3"/>
        <v>36.171290507983841</v>
      </c>
      <c r="K35" s="51">
        <f t="shared" si="3"/>
        <v>43.521800525876699</v>
      </c>
      <c r="L35" s="51">
        <f t="shared" si="3"/>
        <v>62.350707772013671</v>
      </c>
      <c r="M35" s="51">
        <f t="shared" si="3"/>
        <v>81.223872654950853</v>
      </c>
      <c r="N35" s="51">
        <f t="shared" si="3"/>
        <v>40.481573220144043</v>
      </c>
      <c r="O35" s="51">
        <f t="shared" si="3"/>
        <v>38.076422382583011</v>
      </c>
      <c r="P35" s="51">
        <f t="shared" si="3"/>
        <v>31.590483600816043</v>
      </c>
      <c r="AA35" s="142"/>
      <c r="AB35" s="890">
        <v>282</v>
      </c>
      <c r="AC35" s="890" t="s">
        <v>530</v>
      </c>
      <c r="AD35" s="956" t="s">
        <v>531</v>
      </c>
      <c r="AE35" s="954" t="s">
        <v>531</v>
      </c>
      <c r="AF35" s="902"/>
      <c r="AG35" s="902"/>
      <c r="AH35" s="902"/>
      <c r="AI35" s="902"/>
      <c r="AJ35" s="902"/>
      <c r="AK35" s="902"/>
      <c r="AL35" s="902"/>
      <c r="AM35" s="902"/>
      <c r="AN35" s="902"/>
      <c r="AO35" s="896"/>
      <c r="AP35" s="878"/>
    </row>
    <row r="36" spans="2:42" ht="16.149999999999999" thickBot="1">
      <c r="C36" s="11"/>
      <c r="D36">
        <v>9</v>
      </c>
      <c r="E36" s="11">
        <v>8</v>
      </c>
      <c r="F36" s="11">
        <v>7</v>
      </c>
      <c r="G36" s="11">
        <v>1</v>
      </c>
      <c r="H36" s="11">
        <v>2</v>
      </c>
      <c r="I36" s="11">
        <v>2</v>
      </c>
      <c r="L36" s="11">
        <v>17</v>
      </c>
      <c r="O36" s="11">
        <v>12</v>
      </c>
      <c r="P36" s="11">
        <v>2</v>
      </c>
      <c r="AA36" s="142"/>
      <c r="AB36" s="891">
        <v>283</v>
      </c>
      <c r="AC36" s="891" t="s">
        <v>530</v>
      </c>
      <c r="AD36" s="910"/>
      <c r="AE36" s="880"/>
      <c r="AF36" s="880"/>
      <c r="AG36" s="880"/>
      <c r="AH36" s="880"/>
      <c r="AI36" s="880"/>
      <c r="AJ36" s="880"/>
      <c r="AK36" s="880"/>
      <c r="AL36" s="880"/>
      <c r="AM36" s="880"/>
      <c r="AN36" s="880"/>
      <c r="AO36" s="880"/>
      <c r="AP36" s="881"/>
    </row>
    <row r="37" spans="2:42" ht="16.149999999999999" thickBot="1">
      <c r="C37" s="51" t="s">
        <v>508</v>
      </c>
      <c r="D37" s="745" t="s">
        <v>488</v>
      </c>
      <c r="E37" s="375" t="s">
        <v>489</v>
      </c>
      <c r="F37" s="375" t="s">
        <v>490</v>
      </c>
      <c r="G37" s="375" t="s">
        <v>491</v>
      </c>
      <c r="H37" s="375" t="s">
        <v>492</v>
      </c>
      <c r="I37" s="375" t="s">
        <v>493</v>
      </c>
      <c r="J37" s="375" t="s">
        <v>494</v>
      </c>
      <c r="K37" s="375" t="s">
        <v>495</v>
      </c>
      <c r="L37" s="375" t="s">
        <v>496</v>
      </c>
      <c r="M37" s="375" t="s">
        <v>497</v>
      </c>
      <c r="N37" s="375" t="s">
        <v>498</v>
      </c>
      <c r="O37" s="375" t="s">
        <v>499</v>
      </c>
      <c r="P37" s="375" t="s">
        <v>500</v>
      </c>
      <c r="AA37" s="142"/>
      <c r="AB37" s="142"/>
      <c r="AC37" s="142"/>
      <c r="AD37" s="884"/>
      <c r="AE37" s="885"/>
      <c r="AF37" s="886"/>
      <c r="AG37" s="892" t="s">
        <v>534</v>
      </c>
      <c r="AH37" s="142"/>
      <c r="AI37" s="142"/>
      <c r="AJ37" s="142"/>
      <c r="AK37" s="142"/>
      <c r="AL37" s="142"/>
      <c r="AM37" s="142"/>
      <c r="AN37" s="142"/>
      <c r="AO37" s="142"/>
      <c r="AP37" s="142"/>
    </row>
    <row r="38" spans="2:42">
      <c r="B38" s="251"/>
      <c r="C38" s="251" t="s">
        <v>440</v>
      </c>
      <c r="D38" s="746">
        <f t="shared" ref="D38:P38" si="4">MEDIAN(D2:D7,D16)</f>
        <v>3.594655533183114</v>
      </c>
      <c r="E38" s="470">
        <f t="shared" si="4"/>
        <v>2.5109836561424559</v>
      </c>
      <c r="F38" s="470">
        <f t="shared" si="4"/>
        <v>1.464587046452672</v>
      </c>
      <c r="G38" s="470">
        <f t="shared" si="4"/>
        <v>1.7055562304895184</v>
      </c>
      <c r="H38" s="470">
        <f t="shared" si="4"/>
        <v>1.0620736881580986</v>
      </c>
      <c r="I38" s="470">
        <f t="shared" si="4"/>
        <v>1.9200274866137719</v>
      </c>
      <c r="J38" s="470">
        <f t="shared" si="4"/>
        <v>0.29836267818868312</v>
      </c>
      <c r="K38" s="470">
        <f t="shared" si="4"/>
        <v>4.06523155223468</v>
      </c>
      <c r="L38" s="470">
        <f t="shared" si="4"/>
        <v>0.27390345850746267</v>
      </c>
      <c r="M38" s="470">
        <f t="shared" si="4"/>
        <v>63.401156793828711</v>
      </c>
      <c r="N38" s="470">
        <f t="shared" si="4"/>
        <v>11.933511528145198</v>
      </c>
      <c r="O38" s="470">
        <f t="shared" si="4"/>
        <v>118.01370417056172</v>
      </c>
      <c r="P38" s="470">
        <f t="shared" si="4"/>
        <v>42.48278312283832</v>
      </c>
      <c r="AA38" s="142"/>
      <c r="AB38" s="142"/>
      <c r="AC38" s="142"/>
      <c r="AD38" s="882" t="s">
        <v>535</v>
      </c>
      <c r="AE38" s="142" t="s">
        <v>536</v>
      </c>
      <c r="AF38" s="883" t="s">
        <v>537</v>
      </c>
      <c r="AG38" s="142"/>
      <c r="AH38" s="142"/>
      <c r="AI38" s="142"/>
      <c r="AJ38" s="142"/>
      <c r="AK38" s="142"/>
      <c r="AL38" s="142"/>
      <c r="AM38" s="142"/>
      <c r="AN38" s="142"/>
      <c r="AO38" s="142"/>
    </row>
    <row r="39" spans="2:42" ht="16.149999999999999" thickBot="1">
      <c r="B39" s="251"/>
      <c r="C39" s="251" t="s">
        <v>258</v>
      </c>
      <c r="D39" s="470">
        <f t="shared" ref="D39:P39" si="5">MEDIAN(D8:D10,D18:D20)</f>
        <v>3.6946522920542355</v>
      </c>
      <c r="E39" s="470">
        <f t="shared" si="5"/>
        <v>2.8414648163401259</v>
      </c>
      <c r="F39" s="470">
        <f t="shared" si="5"/>
        <v>1.3314489888584329</v>
      </c>
      <c r="G39" s="470">
        <f t="shared" si="5"/>
        <v>1.6508544668912555</v>
      </c>
      <c r="H39" s="470">
        <f t="shared" si="5"/>
        <v>1.1703397994200451</v>
      </c>
      <c r="I39" s="470">
        <f t="shared" si="5"/>
        <v>1.3935435759663093</v>
      </c>
      <c r="J39" s="470">
        <f t="shared" si="5"/>
        <v>0.34172997634547753</v>
      </c>
      <c r="K39" s="470">
        <f t="shared" si="5"/>
        <v>3.2073563414564124</v>
      </c>
      <c r="L39" s="470">
        <f t="shared" si="5"/>
        <v>0.17706870566592001</v>
      </c>
      <c r="M39" s="470">
        <f t="shared" si="5"/>
        <v>62.025608867241417</v>
      </c>
      <c r="N39" s="470">
        <f t="shared" si="5"/>
        <v>13.666192181025703</v>
      </c>
      <c r="O39" s="470">
        <f t="shared" si="5"/>
        <v>108.94892963684157</v>
      </c>
      <c r="P39" s="470">
        <f t="shared" si="5"/>
        <v>31.723278850216577</v>
      </c>
      <c r="AA39" s="142"/>
      <c r="AB39" s="142"/>
      <c r="AC39" s="142"/>
      <c r="AD39" s="966" t="s">
        <v>538</v>
      </c>
      <c r="AE39" s="967"/>
      <c r="AF39" s="968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</row>
    <row r="40" spans="2:42">
      <c r="B40" s="251"/>
      <c r="C40" s="251" t="s">
        <v>509</v>
      </c>
      <c r="D40" s="470">
        <f t="shared" ref="D40:P40" si="6">MEDIAN(D11:D15,D17)</f>
        <v>5.0668002789322344</v>
      </c>
      <c r="E40" s="470">
        <f t="shared" si="6"/>
        <v>3.5987761576694015</v>
      </c>
      <c r="F40" s="470">
        <f t="shared" si="6"/>
        <v>1.5343610668740966</v>
      </c>
      <c r="G40" s="470">
        <f t="shared" si="6"/>
        <v>1.7232678444379645</v>
      </c>
      <c r="H40" s="470">
        <f t="shared" si="6"/>
        <v>0.94486910247324574</v>
      </c>
      <c r="I40" s="470">
        <f t="shared" si="6"/>
        <v>1.7376971813444797</v>
      </c>
      <c r="J40" s="470">
        <f t="shared" si="6"/>
        <v>0.34822218261038301</v>
      </c>
      <c r="K40" s="470">
        <f t="shared" si="6"/>
        <v>5.8895730521202889</v>
      </c>
      <c r="L40" s="470">
        <f t="shared" si="6"/>
        <v>0.23494949248552582</v>
      </c>
      <c r="M40" s="470">
        <f t="shared" si="6"/>
        <v>83.126367848763806</v>
      </c>
      <c r="N40" s="470">
        <f t="shared" si="6"/>
        <v>8.6819140150492355</v>
      </c>
      <c r="O40" s="470">
        <f t="shared" si="6"/>
        <v>89.975127848644306</v>
      </c>
      <c r="P40" s="470">
        <f t="shared" si="6"/>
        <v>30.474731467323952</v>
      </c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</row>
    <row r="41" spans="2:42" s="864" customFormat="1" ht="17.649999999999999">
      <c r="B41" s="862" t="s">
        <v>539</v>
      </c>
      <c r="C41" s="863" t="s">
        <v>512</v>
      </c>
      <c r="D41" s="957">
        <f>STDEV(D2:D20)</f>
        <v>2.9336113773968271</v>
      </c>
      <c r="E41" s="957">
        <f t="shared" ref="E41:P41" si="7">STDEV(E2:E20)</f>
        <v>1.1938897028118853</v>
      </c>
      <c r="F41" s="957">
        <f t="shared" si="7"/>
        <v>0.37624670196351812</v>
      </c>
      <c r="G41" s="957">
        <f t="shared" si="7"/>
        <v>0.3902521039897619</v>
      </c>
      <c r="H41" s="957">
        <f>STDEV(H2:H20)</f>
        <v>0.47235371387146707</v>
      </c>
      <c r="I41" s="957">
        <f t="shared" si="7"/>
        <v>0.99967090631145916</v>
      </c>
      <c r="J41" s="957">
        <f t="shared" si="7"/>
        <v>4.9456262587504102E-2</v>
      </c>
      <c r="K41" s="957">
        <f t="shared" si="7"/>
        <v>2.2542999710621818</v>
      </c>
      <c r="L41" s="957">
        <f t="shared" si="7"/>
        <v>0.1746667461067628</v>
      </c>
      <c r="M41" s="957">
        <f>STDEV(M2:M20)</f>
        <v>57.268074912967855</v>
      </c>
      <c r="N41" s="957">
        <f t="shared" si="7"/>
        <v>4.5411315536479551</v>
      </c>
      <c r="O41" s="957">
        <f t="shared" si="7"/>
        <v>32.929853450994628</v>
      </c>
      <c r="P41" s="957">
        <f t="shared" si="7"/>
        <v>11.580222016852096</v>
      </c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893"/>
    </row>
    <row r="42" spans="2:42" ht="17.649999999999999">
      <c r="B42" s="251"/>
      <c r="C42" s="472" t="s">
        <v>473</v>
      </c>
      <c r="D42" s="958">
        <f>STDEV(D21:D26)</f>
        <v>1.1260297925360694</v>
      </c>
      <c r="E42" s="958">
        <f t="shared" ref="E42:P42" si="8">STDEV(E21:E26)</f>
        <v>0.53039727259678482</v>
      </c>
      <c r="F42" s="958">
        <f t="shared" si="8"/>
        <v>0.62891304868818476</v>
      </c>
      <c r="G42" s="958">
        <f t="shared" si="8"/>
        <v>0.46726630428107241</v>
      </c>
      <c r="H42" s="958">
        <f t="shared" si="8"/>
        <v>0.24665110963184125</v>
      </c>
      <c r="I42" s="958">
        <f t="shared" si="8"/>
        <v>0.84524708759485845</v>
      </c>
      <c r="J42" s="958">
        <f t="shared" si="8"/>
        <v>0.16362642647258593</v>
      </c>
      <c r="K42" s="958">
        <f t="shared" si="8"/>
        <v>1.4671645411259031</v>
      </c>
      <c r="L42" s="958">
        <f t="shared" si="8"/>
        <v>0.10207874098634599</v>
      </c>
      <c r="M42" s="958">
        <f t="shared" si="8"/>
        <v>99.074076796747832</v>
      </c>
      <c r="N42" s="958">
        <f t="shared" si="8"/>
        <v>8.2099276550468829</v>
      </c>
      <c r="O42" s="958">
        <f t="shared" si="8"/>
        <v>25.115886575876772</v>
      </c>
      <c r="P42" s="958">
        <f t="shared" si="8"/>
        <v>12.834319998189292</v>
      </c>
    </row>
    <row r="43" spans="2:42" ht="17.649999999999999">
      <c r="B43" s="251"/>
      <c r="C43" s="472" t="s">
        <v>2</v>
      </c>
      <c r="D43" s="960">
        <f>STDEV(D27:D32)</f>
        <v>0.2351092971002316</v>
      </c>
      <c r="E43" s="960">
        <f t="shared" ref="E43:O43" si="9">STDEV(E27:E32)</f>
        <v>0.20069701952904864</v>
      </c>
      <c r="F43" s="960">
        <f t="shared" si="9"/>
        <v>0.25585737403611331</v>
      </c>
      <c r="G43" s="960">
        <f t="shared" si="9"/>
        <v>0.25961030303225674</v>
      </c>
      <c r="H43" s="960">
        <f t="shared" si="9"/>
        <v>0.27995025559626807</v>
      </c>
      <c r="I43" s="960">
        <f t="shared" si="9"/>
        <v>0.8397642803731834</v>
      </c>
      <c r="J43" s="960">
        <f t="shared" si="9"/>
        <v>1.9459105557908744E-2</v>
      </c>
      <c r="K43" s="960">
        <f t="shared" si="9"/>
        <v>1.0071466835966132</v>
      </c>
      <c r="L43" s="960">
        <f t="shared" si="9"/>
        <v>8.8720180910361823E-2</v>
      </c>
      <c r="M43" s="960">
        <f t="shared" si="9"/>
        <v>9.2669102003217692</v>
      </c>
      <c r="N43" s="960">
        <f t="shared" si="9"/>
        <v>4.1812466508561448</v>
      </c>
      <c r="O43" s="960">
        <f t="shared" si="9"/>
        <v>25.363484085159008</v>
      </c>
      <c r="P43" s="960">
        <f>STDEV(P27:P32)</f>
        <v>10.702292253094795</v>
      </c>
      <c r="AB43" s="864"/>
      <c r="AC43" s="864"/>
      <c r="AD43" s="864"/>
      <c r="AE43" s="864"/>
      <c r="AF43" s="864"/>
      <c r="AG43" s="864"/>
      <c r="AH43" s="864"/>
      <c r="AI43" s="864"/>
      <c r="AJ43" s="864"/>
      <c r="AK43" s="864"/>
      <c r="AL43" s="864"/>
      <c r="AM43" s="864"/>
      <c r="AN43" s="864"/>
      <c r="AO43" s="864"/>
    </row>
    <row r="45" spans="2:42" ht="18">
      <c r="B45" s="11" t="s">
        <v>540</v>
      </c>
      <c r="D45" s="959">
        <v>4.6801176546155503</v>
      </c>
      <c r="E45" s="959">
        <v>3.1635755351811405</v>
      </c>
      <c r="F45" s="959">
        <v>1.4101550405931855</v>
      </c>
      <c r="G45" s="959">
        <v>1.7633394008715546</v>
      </c>
      <c r="H45" s="959">
        <v>1.0506552174552957</v>
      </c>
      <c r="I45" s="959">
        <v>1.8037808133146187</v>
      </c>
      <c r="J45" s="959">
        <v>0.31757627494084145</v>
      </c>
      <c r="K45" s="959">
        <v>4.5513862629201283</v>
      </c>
      <c r="L45" s="959">
        <v>0.27584505993320657</v>
      </c>
      <c r="M45" s="959">
        <v>84.35036083913586</v>
      </c>
      <c r="N45" s="959">
        <v>12.391429221531689</v>
      </c>
      <c r="O45" s="959">
        <v>101.80676759724246</v>
      </c>
      <c r="P45" s="959">
        <v>35.83193500844046</v>
      </c>
    </row>
    <row r="46" spans="2:42" ht="18">
      <c r="D46" s="959">
        <v>2.8096374184506216</v>
      </c>
      <c r="E46" s="959">
        <v>2.2364327480547588</v>
      </c>
      <c r="F46" s="959">
        <v>1.3289433830947992</v>
      </c>
      <c r="G46" s="959">
        <v>2.5350215833091627</v>
      </c>
      <c r="H46" s="959">
        <v>0.90592345359486615</v>
      </c>
      <c r="I46" s="959">
        <v>1.5960303607138682</v>
      </c>
      <c r="J46" s="959">
        <v>0.50186238348746626</v>
      </c>
      <c r="K46" s="959">
        <v>5.1676748293725367</v>
      </c>
      <c r="L46" s="959">
        <v>0.14393377060445378</v>
      </c>
      <c r="M46" s="959">
        <v>117.10974266049804</v>
      </c>
      <c r="N46" s="959">
        <v>17.103352565636246</v>
      </c>
      <c r="O46" s="959">
        <v>77.327499058784539</v>
      </c>
      <c r="P46" s="959">
        <v>34.289233934296234</v>
      </c>
    </row>
    <row r="47" spans="2:42" ht="18">
      <c r="D47" s="959">
        <v>1.0609308800653701</v>
      </c>
      <c r="E47" s="959">
        <v>0.77447623989418135</v>
      </c>
      <c r="F47" s="959">
        <v>1.3995988305759945</v>
      </c>
      <c r="G47" s="959">
        <v>1.6160179642889354</v>
      </c>
      <c r="H47" s="959">
        <v>0.55633908438069668</v>
      </c>
      <c r="I47" s="959">
        <v>1.6042249735318066</v>
      </c>
      <c r="J47" s="959">
        <v>0.21638605902755878</v>
      </c>
      <c r="K47" s="959">
        <v>3.6248120698425179</v>
      </c>
      <c r="L47" s="959">
        <v>0.30131057861623545</v>
      </c>
      <c r="M47" s="959">
        <v>34.127622141835843</v>
      </c>
      <c r="N47" s="959">
        <v>13.442326748187321</v>
      </c>
      <c r="O47" s="959">
        <v>60.881119817912833</v>
      </c>
      <c r="P47" s="959">
        <v>37.156747849768017</v>
      </c>
    </row>
    <row r="55" spans="2:16" ht="16.149999999999999" thickBot="1">
      <c r="B55" s="837" t="s">
        <v>0</v>
      </c>
      <c r="C55" s="837" t="s">
        <v>541</v>
      </c>
      <c r="D55" s="836" t="s">
        <v>457</v>
      </c>
      <c r="E55" s="837" t="s">
        <v>458</v>
      </c>
      <c r="F55" s="837" t="s">
        <v>459</v>
      </c>
      <c r="G55" s="837" t="s">
        <v>460</v>
      </c>
      <c r="H55" s="837" t="s">
        <v>461</v>
      </c>
      <c r="I55" s="837" t="s">
        <v>462</v>
      </c>
      <c r="J55" s="837" t="s">
        <v>463</v>
      </c>
      <c r="K55" s="837" t="s">
        <v>464</v>
      </c>
      <c r="L55" s="837" t="s">
        <v>465</v>
      </c>
      <c r="M55" s="837" t="s">
        <v>466</v>
      </c>
      <c r="N55" s="837" t="s">
        <v>467</v>
      </c>
      <c r="O55" s="838" t="s">
        <v>468</v>
      </c>
      <c r="P55" s="837" t="s">
        <v>469</v>
      </c>
    </row>
    <row r="56" spans="2:16" ht="18">
      <c r="B56" s="467">
        <v>265</v>
      </c>
      <c r="C56" s="113" t="s">
        <v>542</v>
      </c>
      <c r="D56" s="897">
        <v>4.1011090180726475</v>
      </c>
      <c r="E56" s="897">
        <v>2.4714598509225483</v>
      </c>
      <c r="F56" s="897">
        <v>1.6593872712687534</v>
      </c>
      <c r="G56" s="897">
        <v>2.4437074730673536</v>
      </c>
      <c r="H56" s="897">
        <v>1.6242835948762762</v>
      </c>
      <c r="I56" s="897">
        <v>1.4180816593373919</v>
      </c>
      <c r="J56" s="897">
        <v>0.29836267818868312</v>
      </c>
      <c r="K56" s="897">
        <v>3.2715116776143343</v>
      </c>
      <c r="L56" s="896">
        <v>0.23602524964065222</v>
      </c>
      <c r="M56" s="897">
        <v>112.97380789824199</v>
      </c>
      <c r="N56" s="897">
        <v>13.319924528206066</v>
      </c>
      <c r="O56" s="897">
        <v>118.01370417056172</v>
      </c>
      <c r="P56" s="897">
        <v>41.121542489189601</v>
      </c>
    </row>
    <row r="57" spans="2:16" ht="18">
      <c r="B57" s="467">
        <v>266</v>
      </c>
      <c r="C57" s="113" t="s">
        <v>542</v>
      </c>
      <c r="D57" s="897">
        <v>3.594655533183114</v>
      </c>
      <c r="E57" s="897">
        <v>2.4543816237413889</v>
      </c>
      <c r="F57" s="897">
        <v>1.464587046452672</v>
      </c>
      <c r="G57" s="896">
        <v>1.224007312975339</v>
      </c>
      <c r="H57" s="897">
        <v>0.92795806058173902</v>
      </c>
      <c r="I57" s="897">
        <v>3.8778128959049205</v>
      </c>
      <c r="J57" s="897">
        <v>0.34380485489522727</v>
      </c>
      <c r="K57" s="897">
        <v>2.6785501513147141</v>
      </c>
      <c r="L57" s="896">
        <v>0.22520194292024792</v>
      </c>
      <c r="M57" s="897">
        <v>83.389462638606091</v>
      </c>
      <c r="N57" s="897">
        <v>11.933511528145198</v>
      </c>
      <c r="O57" s="896">
        <v>71.782989225309564</v>
      </c>
      <c r="P57" s="897">
        <v>45.041122124791109</v>
      </c>
    </row>
    <row r="58" spans="2:16" ht="18">
      <c r="B58" s="467">
        <v>267</v>
      </c>
      <c r="C58" s="113" t="s">
        <v>542</v>
      </c>
      <c r="D58" s="897">
        <v>3.5184531151444109</v>
      </c>
      <c r="E58" s="897">
        <v>2.5109836561424559</v>
      </c>
      <c r="F58" s="897">
        <v>1.401225016553751</v>
      </c>
      <c r="G58" s="897">
        <v>1.7055562304895184</v>
      </c>
      <c r="H58" s="897">
        <v>0.85976337145274395</v>
      </c>
      <c r="I58" s="897">
        <v>1.3372788025055331</v>
      </c>
      <c r="J58" s="897">
        <v>0.25440273909868194</v>
      </c>
      <c r="K58" s="897">
        <v>4.1291548909500708</v>
      </c>
      <c r="L58" s="897">
        <v>0.27827919369129617</v>
      </c>
      <c r="M58" s="897">
        <v>53.011216432298774</v>
      </c>
      <c r="N58" s="897">
        <v>7.6268379627789562</v>
      </c>
      <c r="O58" s="897">
        <v>131.68243125106642</v>
      </c>
      <c r="P58" s="897">
        <v>42.48278312283832</v>
      </c>
    </row>
    <row r="59" spans="2:16" ht="18">
      <c r="B59" s="467">
        <v>268</v>
      </c>
      <c r="C59" s="113" t="s">
        <v>542</v>
      </c>
      <c r="D59" s="898">
        <v>2.1842691549291131</v>
      </c>
      <c r="E59" s="897">
        <v>2.9575392766122337</v>
      </c>
      <c r="F59" s="896">
        <v>0.73854273794501335</v>
      </c>
      <c r="G59" s="897">
        <v>1.8846451506516448</v>
      </c>
      <c r="H59" s="897">
        <v>1.0620736881580986</v>
      </c>
      <c r="I59" s="897">
        <v>0.93791643864289587</v>
      </c>
      <c r="J59" s="897">
        <v>0.26426024185725716</v>
      </c>
      <c r="K59" s="897">
        <v>4.06523155223468</v>
      </c>
      <c r="L59" s="897">
        <v>0.37664157186051334</v>
      </c>
      <c r="M59" s="897">
        <v>39.335673201142654</v>
      </c>
      <c r="N59" s="897">
        <v>11.523804491841753</v>
      </c>
      <c r="O59" s="897">
        <v>85.36860008436534</v>
      </c>
      <c r="P59" s="897">
        <v>32.184415642037479</v>
      </c>
    </row>
    <row r="60" spans="2:16" ht="18">
      <c r="B60" s="467">
        <v>269</v>
      </c>
      <c r="C60" s="113" t="s">
        <v>542</v>
      </c>
      <c r="D60" s="897">
        <v>1.6027726543022773</v>
      </c>
      <c r="E60" s="897">
        <v>2.1410427663110987</v>
      </c>
      <c r="F60" s="896">
        <v>0.74859441367617718</v>
      </c>
      <c r="G60" s="897">
        <v>1.7791202004618381</v>
      </c>
      <c r="H60" s="897">
        <v>1.0904793809098758</v>
      </c>
      <c r="I60" s="897">
        <v>2.003061427515735</v>
      </c>
      <c r="J60" s="897">
        <v>0.24294163564989069</v>
      </c>
      <c r="K60" s="897">
        <v>6.4396283102433909</v>
      </c>
      <c r="L60" s="897">
        <v>0.27390345850746267</v>
      </c>
      <c r="M60" s="897">
        <v>73.195584886684145</v>
      </c>
      <c r="N60" s="897">
        <v>21.751798573010465</v>
      </c>
      <c r="O60" s="897">
        <v>133.83953811671287</v>
      </c>
      <c r="P60" s="897">
        <v>50.702772796076829</v>
      </c>
    </row>
    <row r="61" spans="2:16" ht="18">
      <c r="B61" s="467">
        <v>270</v>
      </c>
      <c r="C61" s="113" t="s">
        <v>542</v>
      </c>
      <c r="D61" s="897">
        <v>5.1485313819409022</v>
      </c>
      <c r="E61" s="897">
        <v>3.0597951241953423</v>
      </c>
      <c r="F61" s="897">
        <v>1.682639252945032</v>
      </c>
      <c r="G61" s="897">
        <v>1.3879871694898855</v>
      </c>
      <c r="H61" s="897">
        <v>0.51040575558276313</v>
      </c>
      <c r="I61" s="897">
        <v>2.6447904755702369</v>
      </c>
      <c r="J61" s="897">
        <v>0.30694817608373276</v>
      </c>
      <c r="K61" s="897">
        <v>4.139996961202927</v>
      </c>
      <c r="L61" s="896">
        <v>0.19378227154067743</v>
      </c>
      <c r="M61" s="897">
        <v>40.139260191789518</v>
      </c>
      <c r="N61" s="897">
        <v>20.882915891231299</v>
      </c>
      <c r="O61" s="897">
        <v>87.708651949276415</v>
      </c>
      <c r="P61" s="897">
        <v>63.572970039111695</v>
      </c>
    </row>
    <row r="62" spans="2:16" ht="18">
      <c r="B62" s="468">
        <v>271</v>
      </c>
      <c r="C62" s="113" t="s">
        <v>542</v>
      </c>
      <c r="D62" s="897">
        <v>3.3595255331845419</v>
      </c>
      <c r="E62" s="897">
        <v>2.5512354271805688</v>
      </c>
      <c r="F62" s="897">
        <v>1.3168230173478086</v>
      </c>
      <c r="G62" s="897">
        <v>1.5602096089101702</v>
      </c>
      <c r="H62" s="897">
        <v>0.33632289657309883</v>
      </c>
      <c r="I62" s="897">
        <v>0.66984344203847312</v>
      </c>
      <c r="J62" s="897">
        <v>0.23802048479872093</v>
      </c>
      <c r="K62" s="897">
        <v>4.8039842389368586</v>
      </c>
      <c r="L62" s="897">
        <v>0.31010077378686962</v>
      </c>
      <c r="M62" s="897">
        <v>207.99190744862892</v>
      </c>
      <c r="N62" s="897">
        <v>13.285950578362892</v>
      </c>
      <c r="O62" s="896">
        <v>72.657994569106279</v>
      </c>
      <c r="P62" s="897">
        <v>27.004591355046802</v>
      </c>
    </row>
    <row r="63" spans="2:16" ht="18">
      <c r="B63" s="468">
        <v>272</v>
      </c>
      <c r="C63" s="113" t="s">
        <v>542</v>
      </c>
      <c r="D63" s="897">
        <v>3.224378857878516</v>
      </c>
      <c r="E63" s="897">
        <v>2.269688593149592</v>
      </c>
      <c r="F63" s="897">
        <v>1.4206261015763944</v>
      </c>
      <c r="G63" s="897">
        <v>1.5474513289525373</v>
      </c>
      <c r="H63" s="897">
        <v>2.0500761149014126</v>
      </c>
      <c r="I63" s="897">
        <v>0.6257714285962942</v>
      </c>
      <c r="J63" s="897">
        <v>0.28812492297018516</v>
      </c>
      <c r="K63" s="897">
        <v>3.2938218229197598</v>
      </c>
      <c r="L63" s="896">
        <v>0.25622790937730738</v>
      </c>
      <c r="M63" s="897">
        <v>27.478618223365618</v>
      </c>
      <c r="N63" s="897">
        <v>14.046433783688515</v>
      </c>
      <c r="O63" s="897">
        <v>123.2171059624669</v>
      </c>
      <c r="P63" s="897">
        <v>34.951357632771064</v>
      </c>
    </row>
    <row r="64" spans="2:16" ht="18">
      <c r="B64" s="468">
        <v>273</v>
      </c>
      <c r="C64" s="113" t="s">
        <v>542</v>
      </c>
      <c r="D64" s="897">
        <v>4.0297790509239286</v>
      </c>
      <c r="E64" s="897">
        <v>2.9937255870349695</v>
      </c>
      <c r="F64" s="897">
        <v>1.3460749603690572</v>
      </c>
      <c r="G64" s="897">
        <v>1.7414993248723407</v>
      </c>
      <c r="H64" s="897">
        <v>1.8529704424122821</v>
      </c>
      <c r="I64" s="897">
        <v>4.0067672008560562</v>
      </c>
      <c r="J64" s="897">
        <v>0.35431220936286245</v>
      </c>
      <c r="K64" s="897">
        <v>4.1293039424685274</v>
      </c>
      <c r="L64" s="896">
        <v>0.17963420268062824</v>
      </c>
      <c r="M64" s="897">
        <v>44.889042767288664</v>
      </c>
      <c r="N64" s="897">
        <v>8.3661072353431116</v>
      </c>
      <c r="O64" s="897">
        <v>94.68075331121625</v>
      </c>
      <c r="P64" s="897">
        <v>42.41068800617078</v>
      </c>
    </row>
    <row r="65" spans="2:16" ht="18">
      <c r="B65" s="469">
        <v>274</v>
      </c>
      <c r="C65" s="113" t="s">
        <v>542</v>
      </c>
      <c r="D65" s="897">
        <v>2.1488864306767201</v>
      </c>
      <c r="E65" s="897">
        <v>1.6130326504043271</v>
      </c>
      <c r="F65" s="897">
        <v>1.3322026867454138</v>
      </c>
      <c r="G65" s="897">
        <v>1.6615415279286019</v>
      </c>
      <c r="H65" s="897">
        <v>0.6531516390611195</v>
      </c>
      <c r="I65" s="897">
        <v>2.8997177799121907</v>
      </c>
      <c r="J65" s="897">
        <v>0.28535688656176683</v>
      </c>
      <c r="K65" s="897">
        <v>3.0478038032956931</v>
      </c>
      <c r="L65" s="896">
        <v>0.10783789744912314</v>
      </c>
      <c r="M65" s="897">
        <v>41.852900950373403</v>
      </c>
      <c r="N65" s="897">
        <v>5.8666673199608654</v>
      </c>
      <c r="O65" s="896">
        <v>61.684713412405905</v>
      </c>
      <c r="P65" s="897">
        <v>37.641418644236587</v>
      </c>
    </row>
    <row r="66" spans="2:16" ht="18">
      <c r="B66" s="469">
        <v>275</v>
      </c>
      <c r="C66" s="113" t="s">
        <v>542</v>
      </c>
      <c r="D66" s="897">
        <v>2.999685488569674</v>
      </c>
      <c r="E66" s="897">
        <v>2.1546495463610955</v>
      </c>
      <c r="F66" s="897">
        <v>1.3921918270355043</v>
      </c>
      <c r="G66" s="897">
        <v>2.3723689454089611</v>
      </c>
      <c r="H66" s="896">
        <v>0.20045981354923478</v>
      </c>
      <c r="I66" s="897">
        <v>1.7908911795992841</v>
      </c>
      <c r="J66" s="897">
        <v>0.28455841449206631</v>
      </c>
      <c r="K66" s="897">
        <v>5.353575368511974</v>
      </c>
      <c r="L66" s="896">
        <v>0.13477290325055236</v>
      </c>
      <c r="M66" s="897">
        <v>90.022232803962169</v>
      </c>
      <c r="N66" s="897">
        <v>9.2483605814149747</v>
      </c>
      <c r="O66" s="896">
        <v>43.544577423093422</v>
      </c>
      <c r="P66" s="897">
        <v>19.723232679429557</v>
      </c>
    </row>
    <row r="67" spans="2:16" ht="18">
      <c r="B67" s="469">
        <v>276</v>
      </c>
      <c r="C67" s="113" t="s">
        <v>542</v>
      </c>
      <c r="D67" s="894">
        <v>6.9518373887882001</v>
      </c>
      <c r="E67" s="895">
        <v>4.1465623144142496</v>
      </c>
      <c r="F67" s="897">
        <v>1.6765303067126891</v>
      </c>
      <c r="G67" s="897">
        <v>1.7136039453071605</v>
      </c>
      <c r="H67" s="897">
        <v>1.0634992718070728</v>
      </c>
      <c r="I67" s="897">
        <v>0.56431049342306749</v>
      </c>
      <c r="J67" s="897">
        <v>0.34334439700219127</v>
      </c>
      <c r="K67" s="897">
        <v>6.4255707357286038</v>
      </c>
      <c r="L67" s="897">
        <v>0.33512608172049929</v>
      </c>
      <c r="M67" s="897">
        <v>76.230502893565458</v>
      </c>
      <c r="N67" s="897">
        <v>8.1154674486834963</v>
      </c>
      <c r="O67" s="897">
        <v>122.90084529645189</v>
      </c>
      <c r="P67" s="897">
        <v>23.308044290411317</v>
      </c>
    </row>
    <row r="68" spans="2:16" ht="18">
      <c r="B68" s="469">
        <v>277</v>
      </c>
      <c r="C68" s="113" t="s">
        <v>542</v>
      </c>
      <c r="D68" s="897">
        <v>4.8326164005684644</v>
      </c>
      <c r="E68" s="895">
        <v>4.1907993621662998</v>
      </c>
      <c r="F68" s="897">
        <v>1.1531490732284539</v>
      </c>
      <c r="G68" s="897">
        <v>2.4803909951898886</v>
      </c>
      <c r="H68" s="897">
        <v>1.2113403500525695</v>
      </c>
      <c r="I68" s="897">
        <v>1.9626749988674614</v>
      </c>
      <c r="J68" s="897">
        <v>0.36976134681495254</v>
      </c>
      <c r="K68" s="897">
        <v>6.5821878688918831</v>
      </c>
      <c r="L68" s="897">
        <v>0.45102151803366275</v>
      </c>
      <c r="M68" s="897">
        <v>240.92389493975332</v>
      </c>
      <c r="N68" s="897">
        <v>16.230550354463347</v>
      </c>
      <c r="O68" s="897">
        <v>118.26554228488271</v>
      </c>
      <c r="P68" s="897">
        <v>40.913772682909148</v>
      </c>
    </row>
    <row r="69" spans="2:16" ht="18">
      <c r="B69" s="469">
        <v>278</v>
      </c>
      <c r="C69" s="113" t="s">
        <v>542</v>
      </c>
      <c r="D69" s="897">
        <v>5.3009841572960053</v>
      </c>
      <c r="E69" s="897">
        <v>3.0509900009245534</v>
      </c>
      <c r="F69" s="897">
        <v>1.7374636284254052</v>
      </c>
      <c r="G69" s="897">
        <v>1.7329317435687686</v>
      </c>
      <c r="H69" s="897">
        <v>1.3318726851429505</v>
      </c>
      <c r="I69" s="897">
        <v>1.6845031830896755</v>
      </c>
      <c r="J69" s="897">
        <v>0.35309996821857476</v>
      </c>
      <c r="K69" s="897">
        <v>4.5662814898236537</v>
      </c>
      <c r="L69" s="897">
        <v>0.73426900468238931</v>
      </c>
      <c r="M69" s="897">
        <v>109.19454497824586</v>
      </c>
      <c r="N69" s="897">
        <v>13.115956039145708</v>
      </c>
      <c r="O69" s="897">
        <v>133.16831752928181</v>
      </c>
      <c r="P69" s="897">
        <v>37.823643806280622</v>
      </c>
    </row>
    <row r="70" spans="2:16" ht="18">
      <c r="B70" s="467">
        <v>286</v>
      </c>
      <c r="C70" s="113" t="s">
        <v>542</v>
      </c>
      <c r="D70" s="897">
        <v>4.5888319700136808</v>
      </c>
      <c r="E70" s="897">
        <v>2.8230613888510687</v>
      </c>
      <c r="F70" s="897">
        <v>1.6254807593402163</v>
      </c>
      <c r="G70" s="900">
        <v>1.627003673200784</v>
      </c>
      <c r="H70" s="897">
        <v>1.1148687047441086</v>
      </c>
      <c r="I70" s="897">
        <v>1.9200274866137719</v>
      </c>
      <c r="J70" s="897">
        <v>0.32945433883522951</v>
      </c>
      <c r="K70" s="897">
        <v>2.7379429810229414</v>
      </c>
      <c r="L70" s="897">
        <v>0.63738560857586413</v>
      </c>
      <c r="M70" s="897">
        <v>63.401156793828711</v>
      </c>
      <c r="N70" s="897">
        <v>11.256164506220701</v>
      </c>
      <c r="O70" s="897">
        <v>119.48243118744384</v>
      </c>
      <c r="P70" s="897">
        <v>39.618084289718468</v>
      </c>
    </row>
    <row r="71" spans="2:16" ht="18">
      <c r="B71" s="469">
        <v>291</v>
      </c>
      <c r="C71" s="113" t="s">
        <v>542</v>
      </c>
      <c r="D71" s="894">
        <v>11.407551062971484</v>
      </c>
      <c r="E71" s="895">
        <v>5.7850258533067604</v>
      </c>
      <c r="F71" s="897">
        <v>1.9719101266333752</v>
      </c>
      <c r="G71" s="897">
        <v>1.2628400227366816</v>
      </c>
      <c r="H71" s="897">
        <v>0.82623893313941865</v>
      </c>
      <c r="I71" s="897">
        <v>0.9082845067178531</v>
      </c>
      <c r="J71" s="897">
        <v>0.42163613298200731</v>
      </c>
      <c r="K71" s="897">
        <v>12.168623664955756</v>
      </c>
      <c r="L71" s="896">
        <v>7.0755811077955325E-2</v>
      </c>
      <c r="M71" s="897">
        <v>52.396429188660328</v>
      </c>
      <c r="N71" s="897">
        <v>5.724070873437789</v>
      </c>
      <c r="O71" s="896">
        <v>55.7985632825851</v>
      </c>
      <c r="P71" s="896">
        <v>16.678436370741149</v>
      </c>
    </row>
    <row r="72" spans="2:16" ht="18">
      <c r="B72" s="468">
        <v>292</v>
      </c>
      <c r="C72" s="113" t="s">
        <v>542</v>
      </c>
      <c r="D72" s="897">
        <v>2.3144921788760597</v>
      </c>
      <c r="E72" s="897">
        <v>2.6892040456452824</v>
      </c>
      <c r="F72" s="896">
        <v>0.86066067862124263</v>
      </c>
      <c r="G72" s="897">
        <v>1.81239869829578</v>
      </c>
      <c r="H72" s="897">
        <v>0.94762409158465477</v>
      </c>
      <c r="I72" s="897">
        <v>2.2330149018543</v>
      </c>
      <c r="J72" s="897">
        <v>0.34489499951988861</v>
      </c>
      <c r="K72" s="897">
        <v>2.6079980153545574</v>
      </c>
      <c r="L72" s="896">
        <v>0.15318272794107304</v>
      </c>
      <c r="M72" s="897">
        <v>35.984210780416916</v>
      </c>
      <c r="N72" s="897">
        <v>16.392967487095895</v>
      </c>
      <c r="O72" s="897">
        <v>136.18976832042705</v>
      </c>
      <c r="P72" s="897">
        <v>36.957268054916696</v>
      </c>
    </row>
    <row r="73" spans="2:16" ht="18">
      <c r="B73" s="468">
        <v>293</v>
      </c>
      <c r="C73" s="113" t="s">
        <v>542</v>
      </c>
      <c r="D73" s="899">
        <v>4.799630881812293</v>
      </c>
      <c r="E73" s="894">
        <v>4.2267874898787641</v>
      </c>
      <c r="F73" s="897">
        <v>1.1355268967993373</v>
      </c>
      <c r="G73" s="897">
        <v>2.3164344184460002</v>
      </c>
      <c r="H73" s="897">
        <v>0.9060048298657617</v>
      </c>
      <c r="I73" s="897">
        <v>1.0906457948948525</v>
      </c>
      <c r="J73" s="897">
        <v>0.3385649531710665</v>
      </c>
      <c r="K73" s="897">
        <v>3.1208908599930645</v>
      </c>
      <c r="L73" s="896">
        <v>0.17450320865121177</v>
      </c>
      <c r="M73" s="897">
        <v>131.08423395953469</v>
      </c>
      <c r="N73" s="897">
        <v>10.415476822178777</v>
      </c>
      <c r="O73" s="896">
        <v>67.013890804516805</v>
      </c>
      <c r="P73" s="897">
        <v>20.175421066029607</v>
      </c>
    </row>
    <row r="74" spans="2:16" ht="18">
      <c r="B74" s="468">
        <v>294</v>
      </c>
      <c r="C74" s="113" t="s">
        <v>542</v>
      </c>
      <c r="D74" s="894">
        <v>12.81424517856343</v>
      </c>
      <c r="E74" s="895">
        <v>6.0179706111990585</v>
      </c>
      <c r="F74" s="894">
        <v>2.1293299695942247</v>
      </c>
      <c r="G74" s="897">
        <v>1.2497508466062799</v>
      </c>
      <c r="H74" s="897">
        <v>1.3930555072554354</v>
      </c>
      <c r="I74" s="897">
        <v>1.6964413570377661</v>
      </c>
      <c r="J74" s="897">
        <v>0.372099843373004</v>
      </c>
      <c r="K74" s="897">
        <v>2.9142806600190463</v>
      </c>
      <c r="L74" s="896">
        <v>0.11240480334293947</v>
      </c>
      <c r="M74" s="897">
        <v>79.162174967194161</v>
      </c>
      <c r="N74" s="897">
        <v>16.334189203892276</v>
      </c>
      <c r="O74" s="897">
        <v>157.32816616643609</v>
      </c>
      <c r="P74" s="897">
        <v>28.49520006766209</v>
      </c>
    </row>
    <row r="75" spans="2:16" ht="18">
      <c r="B75" s="336">
        <v>284</v>
      </c>
      <c r="C75" s="127" t="s">
        <v>543</v>
      </c>
      <c r="D75" s="897">
        <v>2.9333465308610958</v>
      </c>
      <c r="E75" s="897">
        <v>2.1380779346645178</v>
      </c>
      <c r="F75" s="897">
        <v>1.3719549148807628</v>
      </c>
      <c r="G75" s="897">
        <v>2.3608646032150769</v>
      </c>
      <c r="H75" s="897">
        <v>0.86324925542987918</v>
      </c>
      <c r="I75" s="897">
        <v>2.2901995859763291</v>
      </c>
      <c r="J75" s="897">
        <v>0.36134051848195775</v>
      </c>
      <c r="K75" s="897">
        <v>4.6894537144471657</v>
      </c>
      <c r="L75" s="897">
        <v>0.32046724262189547</v>
      </c>
      <c r="M75" s="897">
        <v>72.934887150112843</v>
      </c>
      <c r="N75" s="897">
        <v>7.8376299856466733</v>
      </c>
      <c r="O75" s="896">
        <v>57.553001007421983</v>
      </c>
      <c r="P75" s="897">
        <v>35.2736162491302</v>
      </c>
    </row>
    <row r="76" spans="2:16" ht="18">
      <c r="B76" s="336">
        <v>285</v>
      </c>
      <c r="C76" s="127" t="s">
        <v>543</v>
      </c>
      <c r="D76" s="897">
        <v>3.657769852765913</v>
      </c>
      <c r="E76" s="897">
        <v>3.0752639389712257</v>
      </c>
      <c r="F76" s="897">
        <v>1.1894165591489212</v>
      </c>
      <c r="G76" s="897">
        <v>2.8073211171260493</v>
      </c>
      <c r="H76" s="897">
        <v>0.70646227919676696</v>
      </c>
      <c r="I76" s="897">
        <v>0.98256026498925753</v>
      </c>
      <c r="J76" s="897">
        <v>0.78861367584367237</v>
      </c>
      <c r="K76" s="897">
        <v>5.1651131260654068</v>
      </c>
      <c r="L76" s="896">
        <v>0.1449385829774921</v>
      </c>
      <c r="M76" s="897">
        <v>112.57302041656195</v>
      </c>
      <c r="N76" s="897">
        <v>27.460086887081999</v>
      </c>
      <c r="O76" s="897">
        <v>93.992167437939727</v>
      </c>
      <c r="P76" s="897">
        <v>46.349165963368293</v>
      </c>
    </row>
    <row r="77" spans="2:16" ht="18">
      <c r="B77" s="336">
        <v>259</v>
      </c>
      <c r="C77" s="127" t="s">
        <v>543</v>
      </c>
      <c r="D77" s="897">
        <v>3.380909629929461</v>
      </c>
      <c r="E77" s="897">
        <v>1.6164265199216539</v>
      </c>
      <c r="F77" s="895">
        <v>2.0915950018521903</v>
      </c>
      <c r="G77" s="897">
        <v>3.0783439545436311</v>
      </c>
      <c r="H77" s="897">
        <v>0.8888915245536686</v>
      </c>
      <c r="I77" s="897">
        <v>1.5587458297179186</v>
      </c>
      <c r="J77" s="897">
        <v>0.379847148816921</v>
      </c>
      <c r="K77" s="897">
        <v>6.5070525619071349</v>
      </c>
      <c r="L77" s="896">
        <v>7.9529306510890574E-2</v>
      </c>
      <c r="M77" s="897">
        <v>61.009468312008657</v>
      </c>
      <c r="N77" s="897">
        <v>15.824537040232228</v>
      </c>
      <c r="O77" s="897">
        <v>82.921630519779086</v>
      </c>
      <c r="P77" s="897">
        <v>45.102048387138368</v>
      </c>
    </row>
    <row r="78" spans="2:16" ht="18">
      <c r="B78" s="336">
        <v>288</v>
      </c>
      <c r="C78" s="127" t="s">
        <v>543</v>
      </c>
      <c r="D78" s="897">
        <v>1.8280925464203408</v>
      </c>
      <c r="E78" s="897">
        <v>1.9164797667458191</v>
      </c>
      <c r="F78" s="896">
        <v>0.95388043126823108</v>
      </c>
      <c r="G78" s="897">
        <v>2.9059775297495234</v>
      </c>
      <c r="H78" s="897">
        <v>0.59613308508202889</v>
      </c>
      <c r="I78" s="896">
        <v>0.29779029298216692</v>
      </c>
      <c r="J78" s="897">
        <v>0.59275929486945933</v>
      </c>
      <c r="K78" s="897">
        <v>5.4217305771106341</v>
      </c>
      <c r="L78" s="896">
        <v>0.18690710334362706</v>
      </c>
      <c r="M78" s="897">
        <v>315.67084187781995</v>
      </c>
      <c r="N78" s="897">
        <v>21.521842603490096</v>
      </c>
      <c r="O78" s="897">
        <v>112.27768790902417</v>
      </c>
      <c r="P78" s="897">
        <v>22.008636759427755</v>
      </c>
    </row>
    <row r="79" spans="2:16" ht="18">
      <c r="B79" s="336">
        <v>289</v>
      </c>
      <c r="C79" s="127" t="s">
        <v>543</v>
      </c>
      <c r="D79" s="896">
        <v>1.0870449410907366</v>
      </c>
      <c r="E79" s="897">
        <v>2.6416414817671838</v>
      </c>
      <c r="F79" s="896">
        <v>0.4115035854008221</v>
      </c>
      <c r="G79" s="897">
        <v>2.173562282400396</v>
      </c>
      <c r="H79" s="897">
        <v>1.2376327232748925</v>
      </c>
      <c r="I79" s="897">
        <v>2.5697708555365608</v>
      </c>
      <c r="J79" s="897">
        <v>0.41174850027476351</v>
      </c>
      <c r="K79" s="897">
        <v>2.6042764833173537</v>
      </c>
      <c r="L79" s="896">
        <v>2.8759401530603412E-2</v>
      </c>
      <c r="M79" s="897">
        <v>61.923916244401191</v>
      </c>
      <c r="N79" s="897">
        <v>7.4450914582510439</v>
      </c>
      <c r="O79" s="896">
        <v>42.3035634724055</v>
      </c>
      <c r="P79" s="896">
        <v>15.415674576155398</v>
      </c>
    </row>
    <row r="80" spans="2:16" ht="18">
      <c r="B80" s="336">
        <v>290</v>
      </c>
      <c r="C80" s="127" t="s">
        <v>543</v>
      </c>
      <c r="D80" s="897">
        <v>3.9706610096361827</v>
      </c>
      <c r="E80" s="897">
        <v>2.0307068462581515</v>
      </c>
      <c r="F80" s="897">
        <v>1.955309806017868</v>
      </c>
      <c r="G80" s="897">
        <v>1.8840600128202971</v>
      </c>
      <c r="H80" s="897">
        <v>1.1431718540319602</v>
      </c>
      <c r="I80" s="897">
        <v>1.8771153350809757</v>
      </c>
      <c r="J80" s="897">
        <v>0.47686516263802342</v>
      </c>
      <c r="K80" s="897">
        <v>6.6184225133875279</v>
      </c>
      <c r="L80" s="896">
        <v>0.10300098664221406</v>
      </c>
      <c r="M80" s="897">
        <v>78.546321962083681</v>
      </c>
      <c r="N80" s="897">
        <v>22.530927419115439</v>
      </c>
      <c r="O80" s="896">
        <v>74.91694400613676</v>
      </c>
      <c r="P80" s="897">
        <v>41.586261670557406</v>
      </c>
    </row>
    <row r="81" spans="2:16" ht="18">
      <c r="B81" s="353">
        <v>300</v>
      </c>
      <c r="C81" s="123" t="s">
        <v>544</v>
      </c>
      <c r="D81" s="896">
        <v>0.86243836569006949</v>
      </c>
      <c r="E81" s="896">
        <v>0.76710561988773274</v>
      </c>
      <c r="F81" s="897">
        <v>1.1242759058606413</v>
      </c>
      <c r="G81" s="897">
        <v>1.445803777944596</v>
      </c>
      <c r="H81" s="896">
        <v>0.20758807877248717</v>
      </c>
      <c r="I81" s="896">
        <v>0.18853542206046511</v>
      </c>
      <c r="J81" s="897">
        <v>0.2166375347004959</v>
      </c>
      <c r="K81" s="897">
        <v>2.8711844586485382</v>
      </c>
      <c r="L81" s="897"/>
      <c r="M81" s="897">
        <v>19.798363536978268</v>
      </c>
      <c r="N81" s="897">
        <v>9.9577888640703698</v>
      </c>
      <c r="O81" s="896">
        <v>57.54011465060745</v>
      </c>
      <c r="P81" s="897">
        <v>18.515219349308232</v>
      </c>
    </row>
    <row r="82" spans="2:16" ht="18">
      <c r="B82" s="353">
        <v>279</v>
      </c>
      <c r="C82" s="123" t="s">
        <v>544</v>
      </c>
      <c r="D82" s="896">
        <v>0.94991386402869304</v>
      </c>
      <c r="E82" s="896">
        <v>0.5116529424051568</v>
      </c>
      <c r="F82" s="897">
        <v>1.8565589783640801</v>
      </c>
      <c r="G82" s="897">
        <v>1.4349927917914429</v>
      </c>
      <c r="H82" s="897">
        <v>0.91751384284197113</v>
      </c>
      <c r="I82" s="897">
        <v>1.8555219801223939</v>
      </c>
      <c r="J82" s="897">
        <v>0.23222203524954496</v>
      </c>
      <c r="K82" s="897">
        <v>4.7488070907258084</v>
      </c>
      <c r="L82" s="896">
        <v>0.2535058018309031</v>
      </c>
      <c r="M82" s="897">
        <v>38.559573177339566</v>
      </c>
      <c r="N82" s="897">
        <v>15.924772821342636</v>
      </c>
      <c r="O82" s="896">
        <v>31.836078968033064</v>
      </c>
      <c r="P82" s="897">
        <v>41.130096699907526</v>
      </c>
    </row>
    <row r="83" spans="2:16" ht="18">
      <c r="B83" s="353">
        <v>280</v>
      </c>
      <c r="C83" s="123" t="s">
        <v>544</v>
      </c>
      <c r="D83" s="896">
        <v>1.1851844548216799</v>
      </c>
      <c r="E83" s="896">
        <v>0.80239076121073671</v>
      </c>
      <c r="F83" s="897">
        <v>1.4770664271275222</v>
      </c>
      <c r="G83" s="897">
        <v>1.4946496414764501</v>
      </c>
      <c r="H83" s="897">
        <v>0.86455455561028305</v>
      </c>
      <c r="I83" s="897">
        <v>2.6552973670122828</v>
      </c>
      <c r="J83" s="897">
        <v>0.22777771510567058</v>
      </c>
      <c r="K83" s="897">
        <v>4.699897612847403</v>
      </c>
      <c r="L83" s="897">
        <v>0.45865352879216209</v>
      </c>
      <c r="M83" s="897">
        <v>26.997431820348311</v>
      </c>
      <c r="N83" s="897">
        <v>19.822203742587252</v>
      </c>
      <c r="O83" s="896">
        <v>34.716755495872775</v>
      </c>
      <c r="P83" s="897">
        <v>40.951322124420649</v>
      </c>
    </row>
    <row r="84" spans="2:16" ht="18">
      <c r="B84" s="353">
        <v>281</v>
      </c>
      <c r="C84" s="123" t="s">
        <v>544</v>
      </c>
      <c r="D84" s="897">
        <v>1.3374955015176899</v>
      </c>
      <c r="E84" s="896">
        <v>0.95314596128568618</v>
      </c>
      <c r="F84" s="897">
        <v>1.4032431084464281</v>
      </c>
      <c r="G84" s="897">
        <v>1.9473372710713779</v>
      </c>
      <c r="H84" s="897">
        <v>0.38643358683585005</v>
      </c>
      <c r="I84" s="897">
        <v>1.3226863911434628</v>
      </c>
      <c r="J84" s="897">
        <v>0.23064581662537437</v>
      </c>
      <c r="K84" s="897">
        <v>2.9031776281147681</v>
      </c>
      <c r="L84" s="896">
        <v>0.24789585305778589</v>
      </c>
      <c r="M84" s="897">
        <v>33.804739046539353</v>
      </c>
      <c r="N84" s="897">
        <v>13.194266636658586</v>
      </c>
      <c r="O84" s="897">
        <v>95.721643424949121</v>
      </c>
      <c r="P84" s="897">
        <v>47.938550104437113</v>
      </c>
    </row>
    <row r="85" spans="2:16" ht="18">
      <c r="B85" s="353">
        <v>282</v>
      </c>
      <c r="C85" s="123" t="s">
        <v>544</v>
      </c>
      <c r="D85" s="896">
        <v>0.76173929655232897</v>
      </c>
      <c r="E85" s="896">
        <v>0.58544078285410284</v>
      </c>
      <c r="F85" s="897">
        <v>1.3011380806761481</v>
      </c>
      <c r="G85" s="897">
        <v>1.4213692856072457</v>
      </c>
      <c r="H85" s="897">
        <v>0.4332162004413227</v>
      </c>
      <c r="I85" s="897">
        <v>1.4880309342903968</v>
      </c>
      <c r="J85" s="897">
        <v>0.21031976101370403</v>
      </c>
      <c r="K85" s="897">
        <v>2.4560939716340728</v>
      </c>
      <c r="L85" s="897">
        <v>0.27598086355277029</v>
      </c>
      <c r="M85" s="897">
        <v>44.016598749140265</v>
      </c>
      <c r="N85" s="897">
        <v>8.1217273720014056</v>
      </c>
      <c r="O85" s="896">
        <v>63.19039659712297</v>
      </c>
      <c r="P85" s="897">
        <v>30.927661611723398</v>
      </c>
    </row>
    <row r="86" spans="2:16" ht="18">
      <c r="B86" s="353">
        <v>283</v>
      </c>
      <c r="C86" s="123" t="s">
        <v>544</v>
      </c>
      <c r="D86" s="897">
        <v>1.26881379778176</v>
      </c>
      <c r="E86" s="897">
        <v>1.0271213717216729</v>
      </c>
      <c r="F86" s="897">
        <v>1.2353104829811463</v>
      </c>
      <c r="G86" s="897">
        <v>1.9519550178424998</v>
      </c>
      <c r="H86" s="897">
        <v>0.52872824178226574</v>
      </c>
      <c r="I86" s="897">
        <v>2.1152777465618389</v>
      </c>
      <c r="J86" s="897">
        <v>0.18071349147056276</v>
      </c>
      <c r="K86" s="897">
        <v>4.0697116570845191</v>
      </c>
      <c r="L86" s="897">
        <v>0.27051684584755586</v>
      </c>
      <c r="M86" s="897">
        <v>41.589026520669293</v>
      </c>
      <c r="N86" s="897">
        <v>13.633201052463686</v>
      </c>
      <c r="O86" s="897">
        <v>82.281729770891602</v>
      </c>
      <c r="P86" s="897">
        <v>43.477637208811174</v>
      </c>
    </row>
  </sheetData>
  <mergeCells count="3">
    <mergeCell ref="Y6:Z6"/>
    <mergeCell ref="Y7:Z7"/>
    <mergeCell ref="AD39:AF39"/>
  </mergeCells>
  <phoneticPr fontId="42" type="noConversion"/>
  <conditionalFormatting sqref="Q2:Q32">
    <cfRule type="containsText" dxfId="0" priority="1" operator="containsText" text="Y">
      <formula>NOT(ISERROR(SEARCH("Y",Q2)))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4401E-D226-42B2-961E-B1A309FABD48}">
  <dimension ref="A1:D22"/>
  <sheetViews>
    <sheetView workbookViewId="0">
      <selection activeCell="C27" sqref="C27"/>
    </sheetView>
  </sheetViews>
  <sheetFormatPr defaultColWidth="8.75" defaultRowHeight="15.75"/>
  <cols>
    <col min="2" max="2" width="17.25" bestFit="1" customWidth="1"/>
    <col min="3" max="3" width="51.75" bestFit="1" customWidth="1"/>
    <col min="4" max="4" width="88.25" bestFit="1" customWidth="1"/>
  </cols>
  <sheetData>
    <row r="1" spans="1:4">
      <c r="A1" s="51" t="s">
        <v>545</v>
      </c>
    </row>
    <row r="2" spans="1:4">
      <c r="A2" s="11" t="s">
        <v>546</v>
      </c>
      <c r="B2" s="11" t="s">
        <v>200</v>
      </c>
      <c r="C2" s="11" t="s">
        <v>201</v>
      </c>
      <c r="D2" s="49" t="s">
        <v>202</v>
      </c>
    </row>
    <row r="3" spans="1:4" s="54" customFormat="1" ht="23.25" customHeight="1">
      <c r="A3" s="36" t="s">
        <v>547</v>
      </c>
      <c r="B3" s="36" t="s">
        <v>214</v>
      </c>
      <c r="C3" s="52" t="s">
        <v>215</v>
      </c>
      <c r="D3" s="53" t="s">
        <v>216</v>
      </c>
    </row>
    <row r="4" spans="1:4" s="54" customFormat="1">
      <c r="A4" s="36" t="s">
        <v>547</v>
      </c>
      <c r="B4" s="36" t="s">
        <v>224</v>
      </c>
      <c r="C4" s="36" t="s">
        <v>225</v>
      </c>
      <c r="D4" s="53" t="s">
        <v>226</v>
      </c>
    </row>
    <row r="5" spans="1:4">
      <c r="A5" s="11" t="s">
        <v>546</v>
      </c>
      <c r="B5" s="50" t="s">
        <v>233</v>
      </c>
      <c r="C5" s="50" t="s">
        <v>234</v>
      </c>
      <c r="D5" s="49" t="s">
        <v>235</v>
      </c>
    </row>
    <row r="6" spans="1:4" s="54" customFormat="1">
      <c r="A6" s="36" t="s">
        <v>547</v>
      </c>
      <c r="B6" s="36" t="s">
        <v>242</v>
      </c>
      <c r="C6" s="36" t="s">
        <v>243</v>
      </c>
      <c r="D6" s="53" t="s">
        <v>244</v>
      </c>
    </row>
    <row r="7" spans="1:4">
      <c r="A7" s="11" t="s">
        <v>546</v>
      </c>
      <c r="B7" s="11" t="s">
        <v>249</v>
      </c>
      <c r="C7" s="11" t="s">
        <v>250</v>
      </c>
      <c r="D7" s="49" t="s">
        <v>251</v>
      </c>
    </row>
    <row r="8" spans="1:4" s="56" customFormat="1">
      <c r="A8" s="14" t="s">
        <v>547</v>
      </c>
      <c r="B8" s="14" t="s">
        <v>256</v>
      </c>
      <c r="C8" s="14" t="s">
        <v>548</v>
      </c>
      <c r="D8" s="15" t="s">
        <v>257</v>
      </c>
    </row>
    <row r="9" spans="1:4">
      <c r="A9" s="11" t="s">
        <v>546</v>
      </c>
      <c r="B9" s="11" t="s">
        <v>264</v>
      </c>
      <c r="C9" s="11" t="s">
        <v>265</v>
      </c>
      <c r="D9" s="49" t="s">
        <v>266</v>
      </c>
    </row>
    <row r="10" spans="1:4" s="54" customFormat="1">
      <c r="A10" s="36" t="s">
        <v>547</v>
      </c>
      <c r="B10" s="36" t="s">
        <v>65</v>
      </c>
      <c r="C10" s="36" t="s">
        <v>271</v>
      </c>
      <c r="D10" s="53" t="s">
        <v>272</v>
      </c>
    </row>
    <row r="11" spans="1:4" s="54" customFormat="1">
      <c r="A11" s="36" t="s">
        <v>547</v>
      </c>
      <c r="B11" s="36" t="s">
        <v>279</v>
      </c>
      <c r="C11" s="36" t="s">
        <v>280</v>
      </c>
      <c r="D11" s="53" t="s">
        <v>281</v>
      </c>
    </row>
    <row r="12" spans="1:4" s="54" customFormat="1">
      <c r="A12" s="36" t="s">
        <v>547</v>
      </c>
      <c r="B12" s="36" t="s">
        <v>285</v>
      </c>
      <c r="C12" s="36" t="s">
        <v>286</v>
      </c>
      <c r="D12" s="53" t="s">
        <v>287</v>
      </c>
    </row>
    <row r="13" spans="1:4">
      <c r="A13" s="11" t="s">
        <v>546</v>
      </c>
      <c r="B13" s="11" t="s">
        <v>294</v>
      </c>
      <c r="C13" s="11" t="s">
        <v>295</v>
      </c>
      <c r="D13" s="49" t="s">
        <v>296</v>
      </c>
    </row>
    <row r="14" spans="1:4">
      <c r="A14" s="11" t="s">
        <v>546</v>
      </c>
      <c r="B14" s="11" t="s">
        <v>46</v>
      </c>
      <c r="C14" s="11" t="s">
        <v>298</v>
      </c>
      <c r="D14" s="49" t="s">
        <v>299</v>
      </c>
    </row>
    <row r="15" spans="1:4" s="54" customFormat="1" ht="22.5" customHeight="1">
      <c r="A15" s="36" t="s">
        <v>547</v>
      </c>
      <c r="B15" s="36" t="s">
        <v>303</v>
      </c>
      <c r="C15" s="52" t="s">
        <v>304</v>
      </c>
      <c r="D15" s="53" t="s">
        <v>305</v>
      </c>
    </row>
    <row r="16" spans="1:4" s="54" customFormat="1">
      <c r="A16" s="36" t="s">
        <v>547</v>
      </c>
      <c r="B16" s="36" t="s">
        <v>335</v>
      </c>
      <c r="C16" s="36" t="s">
        <v>336</v>
      </c>
      <c r="D16" s="53" t="s">
        <v>337</v>
      </c>
    </row>
    <row r="17" spans="1:4" s="54" customFormat="1">
      <c r="A17" s="36" t="s">
        <v>547</v>
      </c>
      <c r="B17" s="36" t="s">
        <v>344</v>
      </c>
      <c r="C17" s="36" t="s">
        <v>345</v>
      </c>
      <c r="D17" s="53" t="s">
        <v>346</v>
      </c>
    </row>
    <row r="18" spans="1:4" s="54" customFormat="1">
      <c r="A18" s="36" t="s">
        <v>547</v>
      </c>
      <c r="B18" s="36" t="s">
        <v>350</v>
      </c>
      <c r="C18" s="36" t="s">
        <v>351</v>
      </c>
      <c r="D18" s="53" t="s">
        <v>352</v>
      </c>
    </row>
    <row r="19" spans="1:4" s="54" customFormat="1">
      <c r="A19" s="36" t="s">
        <v>547</v>
      </c>
      <c r="B19" s="36" t="s">
        <v>357</v>
      </c>
      <c r="C19" s="36" t="s">
        <v>358</v>
      </c>
      <c r="D19" s="36" t="s">
        <v>359</v>
      </c>
    </row>
    <row r="20" spans="1:4" s="54" customFormat="1">
      <c r="A20" s="36" t="s">
        <v>547</v>
      </c>
      <c r="B20" s="36" t="s">
        <v>364</v>
      </c>
      <c r="C20" s="55" t="s">
        <v>365</v>
      </c>
      <c r="D20" s="36" t="s">
        <v>366</v>
      </c>
    </row>
    <row r="21" spans="1:4">
      <c r="A21" s="11" t="s">
        <v>546</v>
      </c>
      <c r="B21" s="11" t="s">
        <v>376</v>
      </c>
      <c r="C21" s="11" t="s">
        <v>377</v>
      </c>
      <c r="D21" s="11" t="s">
        <v>378</v>
      </c>
    </row>
    <row r="22" spans="1:4">
      <c r="A22" s="11" t="s">
        <v>546</v>
      </c>
      <c r="B22" s="11" t="s">
        <v>384</v>
      </c>
      <c r="C22" s="11" t="s">
        <v>549</v>
      </c>
      <c r="D22" s="11" t="s">
        <v>385</v>
      </c>
    </row>
  </sheetData>
  <autoFilter ref="A1:D22" xr:uid="{AD74401E-D226-42B2-961E-B1A309FABD48}"/>
  <hyperlinks>
    <hyperlink ref="D16" r:id="rId1" xr:uid="{FF284C05-0262-4AE7-9935-63E8D4056D54}"/>
    <hyperlink ref="D18" r:id="rId2" xr:uid="{AE915294-9C2F-4BDF-8A4D-A6A0A125B4FE}"/>
    <hyperlink ref="D2" r:id="rId3" xr:uid="{31CFAA05-C166-41D3-9711-2ADB30F175DA}"/>
    <hyperlink ref="D4" r:id="rId4" xr:uid="{B12B47F6-B7BD-4DD5-9755-065E153088EF}"/>
    <hyperlink ref="D8" r:id="rId5" xr:uid="{6E4394E6-3BC2-404F-B974-920AED096D1B}"/>
    <hyperlink ref="D7" r:id="rId6" xr:uid="{16E0CEB6-5F40-4369-BBEF-6DDB6486415B}"/>
    <hyperlink ref="D14" r:id="rId7" xr:uid="{90F82D19-9864-4163-A898-58C1B95E9D07}"/>
    <hyperlink ref="D5" r:id="rId8" xr:uid="{877A4562-9323-4713-A16D-605008A43C19}"/>
    <hyperlink ref="D3" r:id="rId9" xr:uid="{4853764F-AB49-471A-896A-9FB0F22C790D}"/>
  </hyperlinks>
  <pageMargins left="0.7" right="0.7" top="0.75" bottom="0.75" header="0.3" footer="0.3"/>
  <legacy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4D7F-7F14-450A-BD02-B23E28819914}">
  <sheetPr filterMode="1"/>
  <dimension ref="A1:D22"/>
  <sheetViews>
    <sheetView workbookViewId="0">
      <selection activeCell="D40" sqref="D40"/>
    </sheetView>
  </sheetViews>
  <sheetFormatPr defaultColWidth="8.75" defaultRowHeight="15.75"/>
  <cols>
    <col min="2" max="2" width="17.25" bestFit="1" customWidth="1"/>
    <col min="3" max="3" width="51.75" bestFit="1" customWidth="1"/>
    <col min="4" max="4" width="88.25" bestFit="1" customWidth="1"/>
  </cols>
  <sheetData>
    <row r="1" spans="1:4">
      <c r="A1" s="51" t="s">
        <v>545</v>
      </c>
    </row>
    <row r="2" spans="1:4" hidden="1">
      <c r="A2" s="11" t="s">
        <v>546</v>
      </c>
      <c r="B2" s="11" t="s">
        <v>200</v>
      </c>
      <c r="C2" s="11" t="s">
        <v>201</v>
      </c>
      <c r="D2" s="49" t="s">
        <v>202</v>
      </c>
    </row>
    <row r="3" spans="1:4" s="54" customFormat="1" ht="23.25" customHeight="1">
      <c r="A3" s="36" t="s">
        <v>547</v>
      </c>
      <c r="B3" s="36" t="s">
        <v>214</v>
      </c>
      <c r="C3" s="52" t="s">
        <v>215</v>
      </c>
      <c r="D3" s="53" t="s">
        <v>216</v>
      </c>
    </row>
    <row r="4" spans="1:4">
      <c r="A4" s="11" t="s">
        <v>546</v>
      </c>
      <c r="B4" s="11" t="s">
        <v>224</v>
      </c>
      <c r="C4" s="11" t="s">
        <v>225</v>
      </c>
      <c r="D4" s="49" t="s">
        <v>226</v>
      </c>
    </row>
    <row r="5" spans="1:4" hidden="1">
      <c r="A5" s="11" t="s">
        <v>546</v>
      </c>
      <c r="B5" s="50" t="s">
        <v>233</v>
      </c>
      <c r="C5" s="50" t="s">
        <v>234</v>
      </c>
      <c r="D5" s="49" t="s">
        <v>235</v>
      </c>
    </row>
    <row r="6" spans="1:4">
      <c r="A6" s="11" t="s">
        <v>546</v>
      </c>
      <c r="B6" s="11" t="s">
        <v>242</v>
      </c>
      <c r="C6" s="11" t="s">
        <v>243</v>
      </c>
      <c r="D6" s="49" t="s">
        <v>244</v>
      </c>
    </row>
    <row r="7" spans="1:4" hidden="1">
      <c r="A7" s="11" t="s">
        <v>546</v>
      </c>
      <c r="B7" s="11" t="s">
        <v>249</v>
      </c>
      <c r="C7" s="11" t="s">
        <v>250</v>
      </c>
      <c r="D7" s="49" t="s">
        <v>251</v>
      </c>
    </row>
    <row r="8" spans="1:4">
      <c r="A8" s="11" t="s">
        <v>546</v>
      </c>
      <c r="B8" s="11" t="s">
        <v>256</v>
      </c>
      <c r="C8" s="11" t="s">
        <v>548</v>
      </c>
      <c r="D8" s="49" t="s">
        <v>257</v>
      </c>
    </row>
    <row r="9" spans="1:4" hidden="1">
      <c r="A9" s="11" t="s">
        <v>546</v>
      </c>
      <c r="B9" s="11" t="s">
        <v>264</v>
      </c>
      <c r="C9" s="11" t="s">
        <v>265</v>
      </c>
      <c r="D9" s="49" t="s">
        <v>266</v>
      </c>
    </row>
    <row r="10" spans="1:4">
      <c r="A10" s="11" t="s">
        <v>546</v>
      </c>
      <c r="B10" s="11" t="s">
        <v>65</v>
      </c>
      <c r="C10" s="11" t="s">
        <v>271</v>
      </c>
      <c r="D10" s="49" t="s">
        <v>272</v>
      </c>
    </row>
    <row r="11" spans="1:4">
      <c r="A11" s="11" t="s">
        <v>546</v>
      </c>
      <c r="B11" s="11" t="s">
        <v>279</v>
      </c>
      <c r="C11" s="11" t="s">
        <v>280</v>
      </c>
      <c r="D11" s="49" t="s">
        <v>281</v>
      </c>
    </row>
    <row r="12" spans="1:4">
      <c r="A12" s="11" t="s">
        <v>546</v>
      </c>
      <c r="B12" s="11" t="s">
        <v>285</v>
      </c>
      <c r="C12" s="11" t="s">
        <v>286</v>
      </c>
      <c r="D12" s="49" t="s">
        <v>287</v>
      </c>
    </row>
    <row r="13" spans="1:4" hidden="1">
      <c r="A13" s="11" t="s">
        <v>546</v>
      </c>
      <c r="B13" s="11" t="s">
        <v>294</v>
      </c>
      <c r="C13" s="11" t="s">
        <v>295</v>
      </c>
      <c r="D13" s="49" t="s">
        <v>296</v>
      </c>
    </row>
    <row r="14" spans="1:4" hidden="1">
      <c r="A14" s="11" t="s">
        <v>546</v>
      </c>
      <c r="B14" s="11" t="s">
        <v>46</v>
      </c>
      <c r="C14" s="11" t="s">
        <v>298</v>
      </c>
      <c r="D14" s="49" t="s">
        <v>299</v>
      </c>
    </row>
    <row r="15" spans="1:4" ht="22.5" customHeight="1">
      <c r="A15" s="11" t="s">
        <v>546</v>
      </c>
      <c r="B15" s="11" t="s">
        <v>303</v>
      </c>
      <c r="C15" s="12" t="s">
        <v>304</v>
      </c>
      <c r="D15" s="49" t="s">
        <v>305</v>
      </c>
    </row>
    <row r="16" spans="1:4">
      <c r="A16" s="11" t="s">
        <v>546</v>
      </c>
      <c r="B16" s="11" t="s">
        <v>335</v>
      </c>
      <c r="C16" s="11" t="s">
        <v>336</v>
      </c>
      <c r="D16" s="49" t="s">
        <v>337</v>
      </c>
    </row>
    <row r="17" spans="1:4">
      <c r="A17" s="11" t="s">
        <v>546</v>
      </c>
      <c r="B17" s="11" t="s">
        <v>344</v>
      </c>
      <c r="C17" s="11" t="s">
        <v>345</v>
      </c>
      <c r="D17" s="49" t="s">
        <v>346</v>
      </c>
    </row>
    <row r="18" spans="1:4">
      <c r="A18" s="11" t="s">
        <v>546</v>
      </c>
      <c r="B18" s="11" t="s">
        <v>350</v>
      </c>
      <c r="C18" s="11" t="s">
        <v>351</v>
      </c>
      <c r="D18" s="49" t="s">
        <v>352</v>
      </c>
    </row>
    <row r="19" spans="1:4">
      <c r="A19" s="11" t="s">
        <v>546</v>
      </c>
      <c r="B19" s="11" t="s">
        <v>357</v>
      </c>
      <c r="C19" s="11" t="s">
        <v>358</v>
      </c>
      <c r="D19" s="11" t="s">
        <v>359</v>
      </c>
    </row>
    <row r="20" spans="1:4" s="54" customFormat="1">
      <c r="A20" s="36" t="s">
        <v>547</v>
      </c>
      <c r="B20" s="36" t="s">
        <v>364</v>
      </c>
      <c r="C20" s="55" t="s">
        <v>365</v>
      </c>
      <c r="D20" s="36" t="s">
        <v>366</v>
      </c>
    </row>
    <row r="21" spans="1:4" hidden="1">
      <c r="A21" s="11" t="s">
        <v>546</v>
      </c>
      <c r="B21" s="11" t="s">
        <v>376</v>
      </c>
      <c r="C21" s="11" t="s">
        <v>377</v>
      </c>
      <c r="D21" s="11" t="s">
        <v>378</v>
      </c>
    </row>
    <row r="22" spans="1:4" hidden="1">
      <c r="A22" s="11" t="s">
        <v>546</v>
      </c>
      <c r="B22" s="11" t="s">
        <v>384</v>
      </c>
      <c r="C22" s="11" t="s">
        <v>549</v>
      </c>
      <c r="D22" s="11" t="s">
        <v>385</v>
      </c>
    </row>
  </sheetData>
  <autoFilter ref="A1:D22" xr:uid="{AD74401E-D226-42B2-961E-B1A309FABD48}">
    <filterColumn colId="0">
      <filters>
        <filter val="NO"/>
      </filters>
    </filterColumn>
  </autoFilter>
  <hyperlinks>
    <hyperlink ref="D16" r:id="rId1" xr:uid="{F9CE37F9-F2A3-41AA-AC19-EE69B09CA649}"/>
    <hyperlink ref="D18" r:id="rId2" xr:uid="{C28E2F8A-1783-4D60-8E82-8DD1C0A68E55}"/>
    <hyperlink ref="D2" r:id="rId3" xr:uid="{BC33EA50-BBC3-4341-BCF5-C3575B8CC364}"/>
    <hyperlink ref="D4" r:id="rId4" xr:uid="{34C4FEA6-555D-42CB-A01D-7C9165A06273}"/>
    <hyperlink ref="D8" r:id="rId5" xr:uid="{27170C27-E42E-418E-A948-29A0B314DB52}"/>
    <hyperlink ref="D7" r:id="rId6" xr:uid="{19DD9124-508F-4904-822C-C7176375A391}"/>
    <hyperlink ref="D14" r:id="rId7" xr:uid="{CD8168AB-5315-48E0-ADA8-B1014980A974}"/>
    <hyperlink ref="D5" r:id="rId8" xr:uid="{3AF22778-4FD9-4F2C-9D6F-365DD43A6D8D}"/>
    <hyperlink ref="D3" r:id="rId9" xr:uid="{5CB83B9B-0956-4478-A92E-0B2246AE523F}"/>
  </hyperlinks>
  <pageMargins left="0.7" right="0.7" top="0.75" bottom="0.75" header="0.3" footer="0.3"/>
  <legacy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EC89-3595-0146-92AF-83D331F6A901}">
  <sheetPr>
    <tabColor rgb="FFFF0000"/>
  </sheetPr>
  <dimension ref="A1:BK73"/>
  <sheetViews>
    <sheetView zoomScale="74" workbookViewId="0">
      <selection activeCell="U46" sqref="U46"/>
    </sheetView>
  </sheetViews>
  <sheetFormatPr defaultColWidth="9.25" defaultRowHeight="14.25"/>
  <cols>
    <col min="1" max="1" width="22.75" style="251" customWidth="1"/>
    <col min="2" max="2" width="15.75" style="251" customWidth="1"/>
    <col min="3" max="3" width="14.5" style="251" customWidth="1"/>
    <col min="4" max="4" width="12.75" style="251" customWidth="1"/>
    <col min="5" max="5" width="11.5" style="251" customWidth="1"/>
    <col min="6" max="8" width="12.75" style="251" customWidth="1"/>
    <col min="9" max="10" width="11.75" style="251" customWidth="1"/>
    <col min="11" max="12" width="12.75" style="251" customWidth="1"/>
    <col min="13" max="13" width="17.75" style="251" bestFit="1" customWidth="1"/>
    <col min="14" max="14" width="17.5" style="251" customWidth="1"/>
    <col min="15" max="15" width="13.75" style="251" customWidth="1"/>
    <col min="16" max="16" width="16.75" style="251" bestFit="1" customWidth="1"/>
    <col min="17" max="17" width="12.75" style="251" bestFit="1" customWidth="1"/>
    <col min="18" max="18" width="12.75" style="599" hidden="1" customWidth="1"/>
    <col min="19" max="20" width="11.75" style="251" bestFit="1" customWidth="1"/>
    <col min="21" max="21" width="12.75" style="251" bestFit="1" customWidth="1"/>
    <col min="22" max="22" width="13.75" style="251" bestFit="1" customWidth="1"/>
    <col min="23" max="23" width="13.75" style="251" customWidth="1"/>
    <col min="24" max="24" width="9.25" style="251"/>
    <col min="25" max="25" width="11.75" style="251" customWidth="1"/>
    <col min="26" max="16384" width="9.25" style="251"/>
  </cols>
  <sheetData>
    <row r="1" spans="1:63" ht="70.900000000000006" customHeight="1">
      <c r="A1" s="2" t="s">
        <v>0</v>
      </c>
      <c r="B1" s="161" t="s">
        <v>550</v>
      </c>
      <c r="C1" s="162" t="s">
        <v>551</v>
      </c>
      <c r="D1" s="239" t="s">
        <v>552</v>
      </c>
      <c r="E1" s="157" t="s">
        <v>553</v>
      </c>
      <c r="F1" s="157" t="s">
        <v>554</v>
      </c>
      <c r="G1" s="157" t="s">
        <v>555</v>
      </c>
      <c r="H1" s="157" t="s">
        <v>556</v>
      </c>
      <c r="I1" s="239" t="s">
        <v>557</v>
      </c>
      <c r="J1" s="239" t="s">
        <v>558</v>
      </c>
      <c r="K1" s="239" t="s">
        <v>559</v>
      </c>
      <c r="L1" s="239" t="s">
        <v>560</v>
      </c>
      <c r="M1" s="240" t="s">
        <v>561</v>
      </c>
      <c r="N1" s="241" t="s">
        <v>562</v>
      </c>
      <c r="O1" s="239" t="s">
        <v>563</v>
      </c>
      <c r="P1" s="242" t="s">
        <v>564</v>
      </c>
      <c r="Q1" s="157" t="s">
        <v>565</v>
      </c>
      <c r="R1" s="592" t="s">
        <v>566</v>
      </c>
      <c r="S1" s="239" t="s">
        <v>567</v>
      </c>
      <c r="T1" s="157" t="s">
        <v>568</v>
      </c>
      <c r="U1" s="239" t="s">
        <v>569</v>
      </c>
      <c r="V1" s="157" t="s">
        <v>570</v>
      </c>
      <c r="W1" s="159" t="s">
        <v>485</v>
      </c>
      <c r="Y1" s="262" t="s">
        <v>571</v>
      </c>
      <c r="Z1" s="3" t="s">
        <v>572</v>
      </c>
    </row>
    <row r="2" spans="1:63" s="250" customFormat="1">
      <c r="A2" s="158" t="s">
        <v>472</v>
      </c>
      <c r="B2" s="159"/>
      <c r="C2" s="159"/>
      <c r="D2" s="159">
        <v>5.2</v>
      </c>
      <c r="E2" s="159"/>
      <c r="F2" s="159"/>
      <c r="G2" s="159"/>
      <c r="H2" s="159"/>
      <c r="I2" s="159">
        <v>2.2999999999999998</v>
      </c>
      <c r="J2" s="159">
        <v>4.5999999999999996</v>
      </c>
      <c r="K2" s="159">
        <v>8.1999999999999993</v>
      </c>
      <c r="L2" s="159">
        <v>4.2</v>
      </c>
      <c r="M2" s="160">
        <v>4</v>
      </c>
      <c r="N2" s="160">
        <v>7.6</v>
      </c>
      <c r="O2" s="159">
        <v>5.4</v>
      </c>
      <c r="P2" s="159">
        <v>8.9</v>
      </c>
      <c r="Q2" s="159"/>
      <c r="R2" s="593"/>
      <c r="S2" s="159">
        <v>5.2</v>
      </c>
      <c r="T2" s="159"/>
      <c r="U2" s="159">
        <v>5.9</v>
      </c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</row>
    <row r="3" spans="1:63" s="336" customFormat="1" ht="15.75">
      <c r="A3" s="336" t="s">
        <v>573</v>
      </c>
      <c r="B3" s="336">
        <v>259</v>
      </c>
      <c r="C3" s="336">
        <v>13.443290891283054</v>
      </c>
      <c r="D3" s="336">
        <v>18.157107510575464</v>
      </c>
      <c r="E3" s="336">
        <v>30.232141577702944</v>
      </c>
      <c r="F3" s="336">
        <v>3.7353503184713381</v>
      </c>
      <c r="G3" s="336">
        <v>45.969860235789973</v>
      </c>
      <c r="H3" s="336">
        <v>17.7427524972253</v>
      </c>
      <c r="I3" s="336">
        <v>6.4534141294708833</v>
      </c>
      <c r="J3" s="336">
        <v>11.834706412251249</v>
      </c>
      <c r="K3" s="337">
        <v>22.234695250619282</v>
      </c>
      <c r="L3" s="337">
        <v>19.145899893503728</v>
      </c>
      <c r="M3" s="337">
        <v>5.944063883009429</v>
      </c>
      <c r="N3" s="343">
        <f t="shared" ref="N3:N6" si="0">M3+F3</f>
        <v>9.6794142014807676</v>
      </c>
      <c r="O3" s="337">
        <v>14.618606767601555</v>
      </c>
      <c r="P3" s="343">
        <f t="shared" ref="P3:P33" si="1">O3+T3</f>
        <v>24.709576667267108</v>
      </c>
      <c r="Q3" s="337">
        <v>14.574224202515671</v>
      </c>
      <c r="R3" s="594">
        <v>6.8594999999999997</v>
      </c>
      <c r="S3" s="337">
        <v>11.963186925434117</v>
      </c>
      <c r="T3" s="337">
        <v>10.090969899665552</v>
      </c>
      <c r="U3" s="337">
        <v>15.556888696029505</v>
      </c>
      <c r="V3" s="338">
        <f>SUM(C3:U3)</f>
        <v>302.94564995989691</v>
      </c>
      <c r="W3" s="606" t="s">
        <v>211</v>
      </c>
      <c r="Y3" s="339">
        <f>V3/1000</f>
        <v>0.30294564995989692</v>
      </c>
      <c r="Z3" s="340">
        <v>26.73379517</v>
      </c>
      <c r="AB3" s="341"/>
    </row>
    <row r="4" spans="1:63" s="325" customFormat="1" ht="15.75">
      <c r="A4" s="325" t="s">
        <v>574</v>
      </c>
      <c r="B4" s="467">
        <v>265</v>
      </c>
      <c r="C4" s="345">
        <v>19.005046018590594</v>
      </c>
      <c r="D4" s="345">
        <v>20.248888888888889</v>
      </c>
      <c r="E4" s="345">
        <v>30.193847750653788</v>
      </c>
      <c r="F4" s="345">
        <v>3.2969508549563553</v>
      </c>
      <c r="G4" s="345">
        <v>43.779414090645481</v>
      </c>
      <c r="H4" s="345">
        <v>24.005047356794872</v>
      </c>
      <c r="I4" s="345">
        <v>6.6899021409341479</v>
      </c>
      <c r="J4" s="345">
        <v>11.6414913957935</v>
      </c>
      <c r="K4" s="346">
        <v>21.292897936192514</v>
      </c>
      <c r="L4" s="346">
        <v>19.092405939832272</v>
      </c>
      <c r="M4" s="346">
        <v>5.5160153333001443</v>
      </c>
      <c r="N4" s="352">
        <f t="shared" si="0"/>
        <v>8.8129661882564996</v>
      </c>
      <c r="O4" s="346">
        <v>17.502350352655714</v>
      </c>
      <c r="P4" s="352">
        <f t="shared" si="1"/>
        <v>26.098352869231238</v>
      </c>
      <c r="Q4" s="346">
        <v>10.885415552783224</v>
      </c>
      <c r="R4" s="595">
        <v>8.5960025165755241</v>
      </c>
      <c r="S4" s="346">
        <v>14.335815991237677</v>
      </c>
      <c r="T4" s="347">
        <v>8.5960025165755241</v>
      </c>
      <c r="U4" s="347">
        <v>14.335815991237677</v>
      </c>
      <c r="V4" s="348">
        <f t="shared" ref="V4:V32" si="2">SUM(C4:U4)</f>
        <v>313.92462968513564</v>
      </c>
      <c r="W4" s="607" t="s">
        <v>211</v>
      </c>
      <c r="Y4" s="349">
        <f t="shared" ref="Y4:Y33" si="3">V4/1000</f>
        <v>0.31392462968513563</v>
      </c>
      <c r="Z4" s="259">
        <v>29.719554899999999</v>
      </c>
      <c r="AB4" s="350"/>
    </row>
    <row r="5" spans="1:63" s="325" customFormat="1" ht="15.75">
      <c r="A5" s="325" t="s">
        <v>575</v>
      </c>
      <c r="B5" s="467">
        <v>266</v>
      </c>
      <c r="C5" s="351">
        <v>14.775786437107927</v>
      </c>
      <c r="D5" s="351">
        <v>16.065185185185182</v>
      </c>
      <c r="E5" s="351">
        <v>26.38649476458437</v>
      </c>
      <c r="F5" s="351">
        <v>3.6862848260193712</v>
      </c>
      <c r="G5" s="351">
        <v>34.610055708837848</v>
      </c>
      <c r="H5" s="351">
        <v>20.206856900777684</v>
      </c>
      <c r="I5" s="351">
        <v>4.8234861758044527</v>
      </c>
      <c r="J5" s="351">
        <v>10.485229445506693</v>
      </c>
      <c r="K5" s="352">
        <v>20.536220681885741</v>
      </c>
      <c r="L5" s="352">
        <v>12.900207740247749</v>
      </c>
      <c r="M5" s="352">
        <v>4.6922885448299896</v>
      </c>
      <c r="N5" s="352">
        <f t="shared" si="0"/>
        <v>8.3785733708493613</v>
      </c>
      <c r="O5" s="352">
        <v>10.170620123003623</v>
      </c>
      <c r="P5" s="352">
        <f t="shared" si="1"/>
        <v>16.122747113276091</v>
      </c>
      <c r="Q5" s="352">
        <v>15.674545043285148</v>
      </c>
      <c r="R5" s="596">
        <v>10.847006673486288</v>
      </c>
      <c r="S5" s="352">
        <v>8.3917661735875964</v>
      </c>
      <c r="T5" s="352">
        <v>5.9521269902724692</v>
      </c>
      <c r="U5" s="352">
        <v>12.537130339539976</v>
      </c>
      <c r="V5" s="348">
        <f>SUM(C5:U5)</f>
        <v>257.24261223808753</v>
      </c>
      <c r="W5" s="607" t="s">
        <v>211</v>
      </c>
      <c r="Y5" s="349">
        <f t="shared" si="3"/>
        <v>0.25724261223808753</v>
      </c>
      <c r="Z5" s="164">
        <v>27.218351364135742</v>
      </c>
      <c r="AB5" s="350"/>
    </row>
    <row r="6" spans="1:63" s="325" customFormat="1" ht="15.75">
      <c r="A6" s="325" t="s">
        <v>576</v>
      </c>
      <c r="B6" s="467">
        <v>267</v>
      </c>
      <c r="C6" s="351">
        <v>15.829186318054857</v>
      </c>
      <c r="D6" s="351">
        <v>15.682370370370368</v>
      </c>
      <c r="E6" s="351">
        <v>27.098389181158606</v>
      </c>
      <c r="F6" s="351">
        <v>2.0386942484754274</v>
      </c>
      <c r="G6" s="351">
        <v>37.106444299949032</v>
      </c>
      <c r="H6" s="351">
        <v>22.281284231549009</v>
      </c>
      <c r="I6" s="351">
        <v>5.1237810349985038</v>
      </c>
      <c r="J6" s="351">
        <v>10.728154875717017</v>
      </c>
      <c r="K6" s="352">
        <v>20.307956376836536</v>
      </c>
      <c r="L6" s="352">
        <v>15.871970454720323</v>
      </c>
      <c r="M6" s="352">
        <v>5.579220391297854</v>
      </c>
      <c r="N6" s="352">
        <f t="shared" si="0"/>
        <v>7.6179146397732813</v>
      </c>
      <c r="O6" s="352">
        <v>10.77325035855799</v>
      </c>
      <c r="P6" s="352">
        <f t="shared" si="1"/>
        <v>18.471493595261279</v>
      </c>
      <c r="Q6" s="352">
        <v>15.084966379469886</v>
      </c>
      <c r="R6" s="596">
        <v>11.399970773052752</v>
      </c>
      <c r="S6" s="352">
        <v>9.2365829026317368</v>
      </c>
      <c r="T6" s="352">
        <v>7.6982432367032878</v>
      </c>
      <c r="U6" s="352">
        <v>13.868127053669221</v>
      </c>
      <c r="V6" s="348">
        <f t="shared" si="2"/>
        <v>271.79800072224697</v>
      </c>
      <c r="W6" s="607" t="s">
        <v>211</v>
      </c>
      <c r="Y6" s="349">
        <f t="shared" si="3"/>
        <v>0.27179800072224697</v>
      </c>
      <c r="Z6" s="164">
        <v>30.154155731201172</v>
      </c>
      <c r="AB6" s="350"/>
    </row>
    <row r="7" spans="1:63" s="325" customFormat="1" ht="15.75">
      <c r="A7" s="325" t="s">
        <v>577</v>
      </c>
      <c r="B7" s="467">
        <v>268</v>
      </c>
      <c r="C7" s="351">
        <v>20.63682403040432</v>
      </c>
      <c r="D7" s="351">
        <v>20.586666666666666</v>
      </c>
      <c r="E7" s="351">
        <v>32.219633062997971</v>
      </c>
      <c r="F7" s="351">
        <v>4.3587707760373071</v>
      </c>
      <c r="G7" s="351">
        <v>54.245364919248544</v>
      </c>
      <c r="H7" s="351">
        <v>32.148249462886199</v>
      </c>
      <c r="I7" s="351">
        <v>6.7357805221999056</v>
      </c>
      <c r="J7" s="351">
        <v>13.141634799235181</v>
      </c>
      <c r="K7" s="352">
        <v>31.863679178858092</v>
      </c>
      <c r="L7" s="352">
        <v>16.710317765638226</v>
      </c>
      <c r="M7" s="352">
        <v>6.8927863792502606</v>
      </c>
      <c r="N7" s="352">
        <f t="shared" ref="N7:N33" si="4">M7+F7</f>
        <v>11.251557155287568</v>
      </c>
      <c r="O7" s="352">
        <v>14.736038116537424</v>
      </c>
      <c r="P7" s="352">
        <f t="shared" si="1"/>
        <v>24.073075332817734</v>
      </c>
      <c r="Q7" s="352">
        <v>25.926972507248468</v>
      </c>
      <c r="R7" s="596">
        <v>14.70727263870622</v>
      </c>
      <c r="S7" s="352">
        <v>10.84581476860928</v>
      </c>
      <c r="T7" s="352">
        <v>9.3370372162803097</v>
      </c>
      <c r="U7" s="352">
        <v>18.492880613362541</v>
      </c>
      <c r="V7" s="348">
        <f t="shared" si="2"/>
        <v>368.91035591227222</v>
      </c>
      <c r="W7" s="607" t="s">
        <v>211</v>
      </c>
      <c r="Y7" s="349">
        <f t="shared" si="3"/>
        <v>0.36891035591227223</v>
      </c>
      <c r="Z7" s="164">
        <v>28.873640060424805</v>
      </c>
      <c r="AB7" s="350"/>
    </row>
    <row r="8" spans="1:63" s="325" customFormat="1" ht="15.75">
      <c r="A8" s="325" t="s">
        <v>578</v>
      </c>
      <c r="B8" s="467">
        <v>269</v>
      </c>
      <c r="C8" s="351">
        <v>17.593552818352489</v>
      </c>
      <c r="D8" s="351">
        <v>17.112888888888889</v>
      </c>
      <c r="E8" s="351">
        <v>27.569729223693177</v>
      </c>
      <c r="F8" s="351">
        <v>2.7978954920483079</v>
      </c>
      <c r="G8" s="351">
        <v>48.804456707027754</v>
      </c>
      <c r="H8" s="351">
        <v>22.809295851363213</v>
      </c>
      <c r="I8" s="351">
        <v>5.626357847955215</v>
      </c>
      <c r="J8" s="352">
        <v>10.109799235181644</v>
      </c>
      <c r="K8" s="352">
        <v>22.131548559715849</v>
      </c>
      <c r="L8" s="352">
        <v>15.751327229360623</v>
      </c>
      <c r="M8" s="352">
        <v>5.5716632647981275</v>
      </c>
      <c r="N8" s="352">
        <f t="shared" si="4"/>
        <v>8.3695587568464358</v>
      </c>
      <c r="O8" s="352">
        <v>12.362564115030263</v>
      </c>
      <c r="P8" s="352">
        <f t="shared" si="1"/>
        <v>20.835912612344305</v>
      </c>
      <c r="Q8" s="352">
        <v>20.088026156155543</v>
      </c>
      <c r="R8" s="596">
        <v>11.819280042866188</v>
      </c>
      <c r="S8" s="352">
        <v>9.2209825937147283</v>
      </c>
      <c r="T8" s="352">
        <v>8.473348497314042</v>
      </c>
      <c r="U8" s="352">
        <v>13.963198247535596</v>
      </c>
      <c r="V8" s="347">
        <f t="shared" si="2"/>
        <v>301.01138614019237</v>
      </c>
      <c r="W8" s="608" t="s">
        <v>211</v>
      </c>
      <c r="Y8" s="349">
        <f t="shared" si="3"/>
        <v>0.30101138614019235</v>
      </c>
      <c r="Z8" s="258">
        <v>33.477325439453125</v>
      </c>
      <c r="AB8" s="350"/>
    </row>
    <row r="9" spans="1:63" s="325" customFormat="1" ht="15.75">
      <c r="A9" s="325" t="s">
        <v>579</v>
      </c>
      <c r="B9" s="467">
        <v>270</v>
      </c>
      <c r="C9" s="351">
        <v>16.557901002793166</v>
      </c>
      <c r="D9" s="351">
        <v>16.656592592592592</v>
      </c>
      <c r="E9" s="351">
        <v>25.148311336786296</v>
      </c>
      <c r="F9" s="351">
        <v>3.6703575272031563</v>
      </c>
      <c r="G9" s="351">
        <v>37.22714092402861</v>
      </c>
      <c r="H9" s="351">
        <v>25.071818924561992</v>
      </c>
      <c r="I9" s="351">
        <v>5.4386735609589332</v>
      </c>
      <c r="J9" s="352">
        <v>11.248709369024857</v>
      </c>
      <c r="K9" s="352">
        <v>25.776210667960129</v>
      </c>
      <c r="L9" s="352">
        <v>14.174347926444565</v>
      </c>
      <c r="M9" s="352">
        <v>5.5215114252999458</v>
      </c>
      <c r="N9" s="352">
        <f t="shared" si="4"/>
        <v>9.1918689525031017</v>
      </c>
      <c r="O9" s="352">
        <v>10.484284221017575</v>
      </c>
      <c r="P9" s="352">
        <f t="shared" si="1"/>
        <v>18.250668579532796</v>
      </c>
      <c r="Q9" s="352">
        <v>18.699339927206925</v>
      </c>
      <c r="R9" s="596">
        <v>12.474450776949679</v>
      </c>
      <c r="S9" s="352">
        <v>9.6325907443711749</v>
      </c>
      <c r="T9" s="352">
        <v>7.7663843585152224</v>
      </c>
      <c r="U9" s="352">
        <v>12.589266155531215</v>
      </c>
      <c r="V9" s="347">
        <f t="shared" si="2"/>
        <v>285.58042897328193</v>
      </c>
      <c r="W9" s="608" t="s">
        <v>211</v>
      </c>
      <c r="Y9" s="349">
        <f t="shared" si="3"/>
        <v>0.28558042897328195</v>
      </c>
      <c r="Z9" s="164">
        <v>29.918912887573242</v>
      </c>
      <c r="AB9" s="350"/>
    </row>
    <row r="10" spans="1:63" s="325" customFormat="1" ht="15.75">
      <c r="A10" s="325" t="s">
        <v>580</v>
      </c>
      <c r="B10" s="468">
        <v>271</v>
      </c>
      <c r="C10" s="351">
        <v>13.169064517606119</v>
      </c>
      <c r="D10" s="351">
        <v>11.096888888888888</v>
      </c>
      <c r="E10" s="351">
        <v>22.925930825353856</v>
      </c>
      <c r="F10" s="351">
        <v>2.0847064450556019</v>
      </c>
      <c r="G10" s="351">
        <v>26.238968068467393</v>
      </c>
      <c r="H10" s="351">
        <v>16.693497140436353</v>
      </c>
      <c r="I10" s="351">
        <v>4.7327721037562496</v>
      </c>
      <c r="J10" s="352">
        <v>7.5038718929254298</v>
      </c>
      <c r="K10" s="352">
        <v>16.457730281172253</v>
      </c>
      <c r="L10" s="352">
        <v>12.793106101408018</v>
      </c>
      <c r="M10" s="352">
        <v>4.2209986558470654</v>
      </c>
      <c r="N10" s="393">
        <f t="shared" si="4"/>
        <v>6.3057051009026672</v>
      </c>
      <c r="O10" s="352">
        <v>8.7319639254199384</v>
      </c>
      <c r="P10" s="352">
        <f t="shared" si="1"/>
        <v>12.140723544061956</v>
      </c>
      <c r="Q10" s="352">
        <v>10.887701260512843</v>
      </c>
      <c r="R10" s="596">
        <v>8.3101855911150064</v>
      </c>
      <c r="S10" s="352">
        <v>7.1677419354838712</v>
      </c>
      <c r="T10" s="352">
        <v>3.4087596186420175</v>
      </c>
      <c r="U10" s="352">
        <v>10.672508214676888</v>
      </c>
      <c r="V10" s="347">
        <f>SUM(C10:U10)</f>
        <v>205.54282411173241</v>
      </c>
      <c r="W10" s="609" t="s">
        <v>199</v>
      </c>
      <c r="Y10" s="349">
        <f t="shared" si="3"/>
        <v>0.20554282411173241</v>
      </c>
      <c r="Z10" s="259">
        <v>20.496765140000001</v>
      </c>
      <c r="AB10" s="350"/>
    </row>
    <row r="11" spans="1:63" s="325" customFormat="1" ht="15.75">
      <c r="A11" s="325" t="s">
        <v>581</v>
      </c>
      <c r="B11" s="468">
        <v>272</v>
      </c>
      <c r="C11" s="351">
        <v>11.50048971596474</v>
      </c>
      <c r="D11" s="351">
        <v>12.350514805650889</v>
      </c>
      <c r="E11" s="351">
        <v>12.27663538009601</v>
      </c>
      <c r="F11" s="351">
        <v>2.9314578910120312</v>
      </c>
      <c r="G11" s="351">
        <v>31.932921131632831</v>
      </c>
      <c r="H11" s="351">
        <v>17.890588235294114</v>
      </c>
      <c r="I11" s="351">
        <v>4.6574933490984334</v>
      </c>
      <c r="J11" s="352">
        <v>6.8168741298828923</v>
      </c>
      <c r="K11" s="352">
        <v>12.620324780574329</v>
      </c>
      <c r="L11" s="352">
        <v>10.191693290734824</v>
      </c>
      <c r="M11" s="352">
        <v>5.2569847989224554</v>
      </c>
      <c r="N11" s="352">
        <f t="shared" si="4"/>
        <v>8.1884426899344867</v>
      </c>
      <c r="O11" s="352">
        <v>7.9843881856540087</v>
      </c>
      <c r="P11" s="352">
        <f t="shared" si="1"/>
        <v>12.916829657225914</v>
      </c>
      <c r="Q11" s="352">
        <v>16.796849493316508</v>
      </c>
      <c r="R11" s="596">
        <v>14.833428571428573</v>
      </c>
      <c r="S11" s="352">
        <v>7.1432482124616961</v>
      </c>
      <c r="T11" s="352">
        <v>4.9324414715719058</v>
      </c>
      <c r="U11" s="352">
        <v>9.5257105662833581</v>
      </c>
      <c r="V11" s="347">
        <f>SUM(C11:U11)</f>
        <v>210.74731635673999</v>
      </c>
      <c r="W11" s="608" t="s">
        <v>211</v>
      </c>
      <c r="Y11" s="349">
        <f>V11/1000</f>
        <v>0.21074731635673999</v>
      </c>
      <c r="Z11" s="164">
        <v>26.870500564575195</v>
      </c>
      <c r="AB11" s="350"/>
    </row>
    <row r="12" spans="1:63" s="325" customFormat="1" ht="15.75">
      <c r="A12" s="325" t="s">
        <v>582</v>
      </c>
      <c r="B12" s="468">
        <v>273</v>
      </c>
      <c r="C12" s="351">
        <v>10.821625857002937</v>
      </c>
      <c r="D12" s="351">
        <v>11.819043818341447</v>
      </c>
      <c r="E12" s="351">
        <v>12.09823027871319</v>
      </c>
      <c r="F12" s="351">
        <v>3.3006723283793349</v>
      </c>
      <c r="G12" s="351">
        <v>31.207956420604781</v>
      </c>
      <c r="H12" s="351">
        <v>16.935815760266369</v>
      </c>
      <c r="I12" s="351">
        <v>4.8134643807271651</v>
      </c>
      <c r="J12" s="352">
        <v>6.6352673818688066</v>
      </c>
      <c r="K12" s="352">
        <v>11.629432092724548</v>
      </c>
      <c r="L12" s="352">
        <v>10.121405750798722</v>
      </c>
      <c r="M12" s="393">
        <v>3.3404656532614969</v>
      </c>
      <c r="N12" s="352">
        <f t="shared" si="4"/>
        <v>6.6411379816408314</v>
      </c>
      <c r="O12" s="352">
        <v>7.160627120046331</v>
      </c>
      <c r="P12" s="352">
        <f t="shared" si="1"/>
        <v>11.943235815698504</v>
      </c>
      <c r="Q12" s="352">
        <v>15.104234848783562</v>
      </c>
      <c r="R12" s="596">
        <v>6.7249999999999996</v>
      </c>
      <c r="S12" s="352">
        <v>5.9434218590398364</v>
      </c>
      <c r="T12" s="352">
        <v>4.7826086956521738</v>
      </c>
      <c r="U12" s="352">
        <v>8.5699500976350613</v>
      </c>
      <c r="V12" s="347">
        <f>SUM(C12:U12)</f>
        <v>189.59359614118512</v>
      </c>
      <c r="W12" s="609" t="s">
        <v>199</v>
      </c>
      <c r="Y12" s="349">
        <f t="shared" si="3"/>
        <v>0.18959359614118512</v>
      </c>
      <c r="Z12" s="164">
        <v>28.691097259521484</v>
      </c>
      <c r="AB12" s="350"/>
    </row>
    <row r="13" spans="1:63" s="325" customFormat="1" ht="15.75">
      <c r="A13" s="325" t="s">
        <v>583</v>
      </c>
      <c r="B13" s="469">
        <v>274</v>
      </c>
      <c r="C13" s="351">
        <v>14.558726738491673</v>
      </c>
      <c r="D13" s="351">
        <v>11.521142948359804</v>
      </c>
      <c r="E13" s="351">
        <v>13.997277351866446</v>
      </c>
      <c r="F13" s="351">
        <v>2.5229653220099082</v>
      </c>
      <c r="G13" s="351">
        <v>38.417046064534084</v>
      </c>
      <c r="H13" s="351">
        <v>14.984384017758044</v>
      </c>
      <c r="I13" s="351">
        <v>5.4427579071829726</v>
      </c>
      <c r="J13" s="352">
        <v>7.3134550814839079</v>
      </c>
      <c r="K13" s="352">
        <v>15.610257194409614</v>
      </c>
      <c r="L13" s="352">
        <v>13.044728434504792</v>
      </c>
      <c r="M13" s="352">
        <v>5.2191456609582456</v>
      </c>
      <c r="N13" s="352">
        <f t="shared" si="4"/>
        <v>7.7421109829681534</v>
      </c>
      <c r="O13" s="352">
        <v>9.8210391329527589</v>
      </c>
      <c r="P13" s="352">
        <f t="shared" si="1"/>
        <v>16.635754852016305</v>
      </c>
      <c r="Q13" s="352">
        <v>14.887315168960212</v>
      </c>
      <c r="R13" s="596">
        <v>11.778357142857143</v>
      </c>
      <c r="S13" s="352">
        <v>7.3588661899897856</v>
      </c>
      <c r="T13" s="352">
        <v>6.8147157190635452</v>
      </c>
      <c r="U13" s="352">
        <v>9.7213278368409632</v>
      </c>
      <c r="V13" s="347">
        <f>SUM(C13:U13)</f>
        <v>227.39137374720838</v>
      </c>
      <c r="W13" s="608" t="s">
        <v>211</v>
      </c>
      <c r="Y13" s="349">
        <f t="shared" si="3"/>
        <v>0.22739137374720839</v>
      </c>
      <c r="Z13" s="259">
        <v>20.505861280000001</v>
      </c>
      <c r="AB13" s="350"/>
    </row>
    <row r="14" spans="1:63" s="325" customFormat="1" ht="15.75">
      <c r="A14" s="325" t="s">
        <v>584</v>
      </c>
      <c r="B14" s="469">
        <v>275</v>
      </c>
      <c r="C14" s="351">
        <v>9.6805093046033299</v>
      </c>
      <c r="D14" s="351">
        <v>12.038758081251496</v>
      </c>
      <c r="E14" s="351">
        <v>18.46815218170094</v>
      </c>
      <c r="F14" s="351">
        <v>2.6957891012031143</v>
      </c>
      <c r="G14" s="351">
        <v>27.466530149704763</v>
      </c>
      <c r="H14" s="351">
        <v>11.826859045504992</v>
      </c>
      <c r="I14" s="351">
        <v>5.329160508424474</v>
      </c>
      <c r="J14" s="352">
        <v>8.98669642125952</v>
      </c>
      <c r="K14" s="352">
        <v>14.263185418514327</v>
      </c>
      <c r="L14" s="352">
        <v>13.412140575079871</v>
      </c>
      <c r="M14" s="352">
        <v>4.2193958052722724</v>
      </c>
      <c r="N14" s="352">
        <f t="shared" si="4"/>
        <v>6.9151849064753872</v>
      </c>
      <c r="O14" s="352">
        <v>9.6308596012244561</v>
      </c>
      <c r="P14" s="352">
        <f t="shared" si="1"/>
        <v>15.343234183164256</v>
      </c>
      <c r="Q14" s="352">
        <v>10.040282323252237</v>
      </c>
      <c r="R14" s="596">
        <v>5.8027142857142859</v>
      </c>
      <c r="S14" s="352">
        <v>7.6745556690500516</v>
      </c>
      <c r="T14" s="352">
        <v>5.7123745819397991</v>
      </c>
      <c r="U14" s="352">
        <v>10.820611846387502</v>
      </c>
      <c r="V14" s="347">
        <f>SUM(C14:U14)</f>
        <v>200.32699398972704</v>
      </c>
      <c r="W14" s="608" t="s">
        <v>211</v>
      </c>
      <c r="Y14" s="349">
        <f t="shared" si="3"/>
        <v>0.20032699398972703</v>
      </c>
      <c r="Z14" s="164">
        <v>25.310579299926758</v>
      </c>
      <c r="AB14" s="350"/>
    </row>
    <row r="15" spans="1:63" s="325" customFormat="1" ht="15.75">
      <c r="A15" s="325" t="s">
        <v>585</v>
      </c>
      <c r="B15" s="469">
        <v>276</v>
      </c>
      <c r="C15" s="351">
        <v>18.313915472320161</v>
      </c>
      <c r="D15" s="351">
        <v>17.168592592592592</v>
      </c>
      <c r="E15" s="351">
        <v>26.97505927365604</v>
      </c>
      <c r="F15" s="351">
        <v>3.4049025469329188</v>
      </c>
      <c r="G15" s="351">
        <v>38.802172117463051</v>
      </c>
      <c r="H15" s="351">
        <v>30.81276969165129</v>
      </c>
      <c r="I15" s="351">
        <v>5.171744797230887</v>
      </c>
      <c r="J15" s="352">
        <v>9.6838910133843221</v>
      </c>
      <c r="K15" s="352">
        <v>22.931104191766671</v>
      </c>
      <c r="L15" s="352">
        <v>13.151342617527122</v>
      </c>
      <c r="M15" s="352">
        <v>4.7733559018270526</v>
      </c>
      <c r="N15" s="352">
        <f t="shared" si="4"/>
        <v>8.178258448759971</v>
      </c>
      <c r="O15" s="352">
        <v>10.395371563312832</v>
      </c>
      <c r="P15" s="352">
        <f t="shared" si="1"/>
        <v>17.882377322399122</v>
      </c>
      <c r="Q15" s="352">
        <v>20.217309946330531</v>
      </c>
      <c r="R15" s="596">
        <v>12.007969214282234</v>
      </c>
      <c r="S15" s="352">
        <v>9.7609932869957827</v>
      </c>
      <c r="T15" s="352">
        <v>7.4870057590862897</v>
      </c>
      <c r="U15" s="352">
        <v>13.658050383351586</v>
      </c>
      <c r="V15" s="347">
        <f t="shared" si="2"/>
        <v>290.77618614087044</v>
      </c>
      <c r="W15" s="608" t="s">
        <v>211</v>
      </c>
      <c r="Y15" s="349">
        <f t="shared" si="3"/>
        <v>0.29077618614087042</v>
      </c>
      <c r="Z15" s="164">
        <v>30.837608337402344</v>
      </c>
      <c r="AB15" s="350"/>
    </row>
    <row r="16" spans="1:63" s="325" customFormat="1" ht="15.75">
      <c r="A16" s="325" t="s">
        <v>586</v>
      </c>
      <c r="B16" s="469">
        <v>277</v>
      </c>
      <c r="C16" s="351">
        <v>15.660057694949401</v>
      </c>
      <c r="D16" s="351">
        <v>16.574814814814815</v>
      </c>
      <c r="E16" s="351">
        <v>26.24851179876466</v>
      </c>
      <c r="F16" s="351">
        <v>1.5591055841205308</v>
      </c>
      <c r="G16" s="351">
        <v>32.322794931725916</v>
      </c>
      <c r="H16" s="351">
        <v>26.799612672859869</v>
      </c>
      <c r="I16" s="351">
        <v>4.8276569377377028</v>
      </c>
      <c r="J16" s="352">
        <v>8.9835086042065004</v>
      </c>
      <c r="K16" s="352">
        <v>18.224571669978562</v>
      </c>
      <c r="L16" s="352">
        <v>12.379472185889052</v>
      </c>
      <c r="M16" s="352">
        <v>4.2567232538457702</v>
      </c>
      <c r="N16" s="484">
        <f t="shared" si="4"/>
        <v>5.8158288379663006</v>
      </c>
      <c r="O16" s="352">
        <v>10.033546442375476</v>
      </c>
      <c r="P16" s="352">
        <f t="shared" si="1"/>
        <v>16.299122592982844</v>
      </c>
      <c r="Q16" s="352">
        <v>18.682622195718785</v>
      </c>
      <c r="R16" s="596">
        <v>10.755282770714597</v>
      </c>
      <c r="S16" s="352">
        <v>8.6173706410027933</v>
      </c>
      <c r="T16" s="352">
        <v>6.2655761506073668</v>
      </c>
      <c r="U16" s="352">
        <v>12.715005476451259</v>
      </c>
      <c r="V16" s="347">
        <f t="shared" si="2"/>
        <v>257.02118525671216</v>
      </c>
      <c r="W16" s="609" t="s">
        <v>199</v>
      </c>
      <c r="Y16" s="349">
        <f t="shared" si="3"/>
        <v>0.25702118525671214</v>
      </c>
      <c r="Z16" s="164">
        <v>25.952020645141602</v>
      </c>
      <c r="AB16" s="350"/>
    </row>
    <row r="17" spans="1:28" s="325" customFormat="1" ht="15.75">
      <c r="A17" s="325" t="s">
        <v>587</v>
      </c>
      <c r="B17" s="469">
        <v>278</v>
      </c>
      <c r="C17" s="351">
        <v>13.029168002197903</v>
      </c>
      <c r="D17" s="351">
        <v>13.444740740740739</v>
      </c>
      <c r="E17" s="351">
        <v>22.193277909497013</v>
      </c>
      <c r="F17" s="351">
        <v>2.6970225995456176</v>
      </c>
      <c r="G17" s="351">
        <v>28.721016466618629</v>
      </c>
      <c r="H17" s="351">
        <v>20.47690864526281</v>
      </c>
      <c r="I17" s="351">
        <v>3.8506559548737234</v>
      </c>
      <c r="J17" s="352">
        <v>6.8870936902485651</v>
      </c>
      <c r="K17" s="352">
        <v>13.188884542567004</v>
      </c>
      <c r="L17" s="352">
        <v>9.7277833346156815</v>
      </c>
      <c r="M17" s="352">
        <v>5.1656394683128388</v>
      </c>
      <c r="N17" s="352">
        <f t="shared" si="4"/>
        <v>7.8626620678584569</v>
      </c>
      <c r="O17" s="352">
        <v>7.9169312297931294</v>
      </c>
      <c r="P17" s="352">
        <f t="shared" si="1"/>
        <v>13.306893965117141</v>
      </c>
      <c r="Q17" s="352">
        <v>14.329324916205714</v>
      </c>
      <c r="R17" s="596">
        <v>10.231146183447803</v>
      </c>
      <c r="S17" s="352">
        <v>6.9241371116259725</v>
      </c>
      <c r="T17" s="352">
        <v>5.3899627353240103</v>
      </c>
      <c r="U17" s="352">
        <v>9.8858707557502719</v>
      </c>
      <c r="V17" s="347">
        <f t="shared" si="2"/>
        <v>215.22912031960306</v>
      </c>
      <c r="W17" s="608" t="s">
        <v>211</v>
      </c>
      <c r="Y17" s="349">
        <f t="shared" si="3"/>
        <v>0.21522912031960306</v>
      </c>
      <c r="Z17" s="164">
        <v>25.346691131591797</v>
      </c>
      <c r="AB17" s="350"/>
    </row>
    <row r="18" spans="1:28" s="353" customFormat="1" ht="15.75">
      <c r="A18" s="353" t="s">
        <v>588</v>
      </c>
      <c r="B18" s="353">
        <v>279</v>
      </c>
      <c r="C18" s="354">
        <v>9.2624021246394062</v>
      </c>
      <c r="D18" s="354">
        <v>6.1736296296296285</v>
      </c>
      <c r="E18" s="354">
        <v>15.924211126148585</v>
      </c>
      <c r="F18" s="354">
        <v>3.058041372713141</v>
      </c>
      <c r="G18" s="354">
        <v>29.70212466829517</v>
      </c>
      <c r="H18" s="354">
        <v>10.532018034919965</v>
      </c>
      <c r="I18" s="354">
        <v>3.5190803811802911</v>
      </c>
      <c r="J18" s="355">
        <v>6.2151051625239004</v>
      </c>
      <c r="K18" s="355">
        <v>21.637186086902094</v>
      </c>
      <c r="L18" s="355">
        <v>9.1061014080172367</v>
      </c>
      <c r="M18" s="355">
        <v>5.3992233783043755</v>
      </c>
      <c r="N18" s="355">
        <f t="shared" si="4"/>
        <v>8.457264751017517</v>
      </c>
      <c r="O18" s="355">
        <v>7.5551061088557745</v>
      </c>
      <c r="P18" s="355">
        <f t="shared" si="1"/>
        <v>13.074536975622461</v>
      </c>
      <c r="Q18" s="355">
        <v>11.519631510764739</v>
      </c>
      <c r="R18" s="596">
        <v>7.2999123191582624</v>
      </c>
      <c r="S18" s="393">
        <v>4.173682647181133</v>
      </c>
      <c r="T18" s="355">
        <v>5.5194308667666858</v>
      </c>
      <c r="U18" s="355">
        <v>7.1794085432639649</v>
      </c>
      <c r="V18" s="394">
        <f t="shared" si="2"/>
        <v>185.30809709590432</v>
      </c>
      <c r="W18" s="610" t="s">
        <v>199</v>
      </c>
      <c r="Y18" s="356">
        <f t="shared" si="3"/>
        <v>0.18530809709590432</v>
      </c>
      <c r="Z18" s="260">
        <v>13.359435080000001</v>
      </c>
      <c r="AB18" s="357"/>
    </row>
    <row r="19" spans="1:28" s="353" customFormat="1" ht="15.75">
      <c r="A19" s="353" t="s">
        <v>589</v>
      </c>
      <c r="B19" s="353">
        <v>280</v>
      </c>
      <c r="C19" s="354">
        <v>8.9116168322725393</v>
      </c>
      <c r="D19" s="354">
        <v>6.9048888888888884</v>
      </c>
      <c r="E19" s="354">
        <v>14.765398430901671</v>
      </c>
      <c r="F19" s="354">
        <v>2.3501614253258403</v>
      </c>
      <c r="G19" s="354">
        <v>24.262411472154369</v>
      </c>
      <c r="H19" s="354">
        <v>12.36595152358762</v>
      </c>
      <c r="I19" s="354">
        <v>3.2667492842186228</v>
      </c>
      <c r="J19" s="355">
        <v>5.5431166347992349</v>
      </c>
      <c r="K19" s="355">
        <v>12.380501009215939</v>
      </c>
      <c r="L19" s="355">
        <v>8.1581903516196057</v>
      </c>
      <c r="M19" s="355">
        <v>4.5363369343356394</v>
      </c>
      <c r="N19" s="484">
        <f t="shared" si="4"/>
        <v>6.8864983596614797</v>
      </c>
      <c r="O19" s="355">
        <v>5.4829472251257991</v>
      </c>
      <c r="P19" s="355">
        <f t="shared" si="1"/>
        <v>9.2920359344129313</v>
      </c>
      <c r="Q19" s="355">
        <v>8.850367049824186</v>
      </c>
      <c r="R19" s="596">
        <v>5.8755711432607525</v>
      </c>
      <c r="S19" s="393">
        <v>4.1208816016158742</v>
      </c>
      <c r="T19" s="355">
        <v>3.8090887092871326</v>
      </c>
      <c r="U19" s="355">
        <v>6.3621029572836791</v>
      </c>
      <c r="V19" s="394">
        <f t="shared" si="2"/>
        <v>154.12481576779177</v>
      </c>
      <c r="W19" s="610" t="s">
        <v>199</v>
      </c>
      <c r="Y19" s="356">
        <f t="shared" si="3"/>
        <v>0.15412481576779177</v>
      </c>
      <c r="Z19" s="165">
        <v>15.766446113586426</v>
      </c>
      <c r="AB19" s="357"/>
    </row>
    <row r="20" spans="1:28" s="353" customFormat="1" ht="15.75">
      <c r="A20" s="353" t="s">
        <v>590</v>
      </c>
      <c r="B20" s="353">
        <v>281</v>
      </c>
      <c r="C20" s="354">
        <v>5.3348873653281093</v>
      </c>
      <c r="D20" s="354">
        <v>5.4651448639157154</v>
      </c>
      <c r="E20" s="354">
        <v>5.0737980941463068</v>
      </c>
      <c r="F20" s="354">
        <v>2.0490092002830855</v>
      </c>
      <c r="G20" s="354">
        <v>16.016143462096661</v>
      </c>
      <c r="H20" s="354">
        <v>10.307846836847945</v>
      </c>
      <c r="I20" s="354">
        <v>3.1149127992905701</v>
      </c>
      <c r="J20" s="393">
        <v>4.394504954549177</v>
      </c>
      <c r="K20" s="393">
        <v>7.2258754090339155</v>
      </c>
      <c r="L20" s="355">
        <v>6.3226837060702881</v>
      </c>
      <c r="M20" s="393">
        <v>3.606003463536656</v>
      </c>
      <c r="N20" s="484">
        <f t="shared" si="4"/>
        <v>5.6550126638197415</v>
      </c>
      <c r="O20" s="393">
        <v>4.4235128650616362</v>
      </c>
      <c r="P20" s="393">
        <f t="shared" si="1"/>
        <v>7.2649844369679908</v>
      </c>
      <c r="Q20" s="355">
        <v>5.5950317416505646</v>
      </c>
      <c r="R20" s="596">
        <v>26.957642857142858</v>
      </c>
      <c r="S20" s="393">
        <v>3.9151685393258426</v>
      </c>
      <c r="T20" s="355">
        <v>2.8414715719063546</v>
      </c>
      <c r="U20" s="393">
        <v>5.0722282490778907</v>
      </c>
      <c r="V20" s="394">
        <f>SUM(C20:U20)</f>
        <v>130.63586308005131</v>
      </c>
      <c r="W20" s="610" t="s">
        <v>199</v>
      </c>
      <c r="Y20" s="356">
        <f>V20/1000</f>
        <v>0.13063586308005132</v>
      </c>
      <c r="Z20" s="165">
        <v>19.683095932006836</v>
      </c>
      <c r="AB20" s="357"/>
    </row>
    <row r="21" spans="1:28" s="353" customFormat="1" ht="15.75">
      <c r="A21" s="353" t="s">
        <v>591</v>
      </c>
      <c r="B21" s="353">
        <v>282</v>
      </c>
      <c r="C21" s="354">
        <v>7.8958010897934878</v>
      </c>
      <c r="D21" s="354">
        <v>9.5028148148148155</v>
      </c>
      <c r="E21" s="354">
        <v>19.387217241765285</v>
      </c>
      <c r="F21" s="354">
        <v>2.838598589023078</v>
      </c>
      <c r="G21" s="354">
        <v>20.536351334727517</v>
      </c>
      <c r="H21" s="354">
        <v>10.089993040215452</v>
      </c>
      <c r="I21" s="354">
        <v>3.4940558095807868</v>
      </c>
      <c r="J21" s="355">
        <v>7.1615678776290634</v>
      </c>
      <c r="K21" s="355">
        <v>13.29608048692713</v>
      </c>
      <c r="L21" s="355">
        <v>13.913364622605217</v>
      </c>
      <c r="M21" s="355">
        <v>7.1346144272414991</v>
      </c>
      <c r="N21" s="355">
        <f t="shared" si="4"/>
        <v>9.9732130162645767</v>
      </c>
      <c r="O21" s="355">
        <v>7.1451199649950157</v>
      </c>
      <c r="P21" s="355">
        <f t="shared" si="1"/>
        <v>12.078537184179066</v>
      </c>
      <c r="Q21" s="355">
        <v>6.427410499475644</v>
      </c>
      <c r="R21" s="596">
        <v>6.3184665595011928</v>
      </c>
      <c r="S21" s="355">
        <v>5.776914394344443</v>
      </c>
      <c r="T21" s="355">
        <v>4.9334172191840491</v>
      </c>
      <c r="U21" s="355">
        <v>8.8186199342825837</v>
      </c>
      <c r="V21" s="394">
        <f t="shared" si="2"/>
        <v>176.72215810654987</v>
      </c>
      <c r="W21" s="611" t="s">
        <v>211</v>
      </c>
      <c r="Y21" s="356">
        <f t="shared" si="3"/>
        <v>0.17672215810654987</v>
      </c>
      <c r="Z21" s="165">
        <v>17.388208389282227</v>
      </c>
      <c r="AB21" s="357"/>
    </row>
    <row r="22" spans="1:28" s="353" customFormat="1" ht="15.75">
      <c r="A22" s="353" t="s">
        <v>592</v>
      </c>
      <c r="B22" s="353">
        <v>283</v>
      </c>
      <c r="C22" s="354">
        <v>8.0075095013507944</v>
      </c>
      <c r="D22" s="354">
        <v>7.4856296296296287</v>
      </c>
      <c r="E22" s="354">
        <v>19.002574460940437</v>
      </c>
      <c r="F22" s="354">
        <v>2.5430587109888796</v>
      </c>
      <c r="G22" s="354">
        <v>19.507442489851151</v>
      </c>
      <c r="H22" s="354">
        <v>8.7061457923563434</v>
      </c>
      <c r="I22" s="354">
        <v>3.2657065937353105</v>
      </c>
      <c r="J22" s="355">
        <v>6.8744741873804962</v>
      </c>
      <c r="K22" s="355">
        <v>14.724939368809748</v>
      </c>
      <c r="L22" s="355">
        <v>15.482957605601294</v>
      </c>
      <c r="M22" s="355">
        <v>4.8386219943246873</v>
      </c>
      <c r="N22" s="393">
        <f>M22+F22</f>
        <v>7.3816807053135669</v>
      </c>
      <c r="O22" s="355">
        <v>6.7178452488027816</v>
      </c>
      <c r="P22" s="355">
        <f>O22+T22</f>
        <v>10.991997114456366</v>
      </c>
      <c r="Q22" s="355">
        <v>6.8286360551911338</v>
      </c>
      <c r="R22" s="596">
        <v>7.7021871498855274</v>
      </c>
      <c r="S22" s="355">
        <v>5.4565080496643494</v>
      </c>
      <c r="T22" s="355">
        <v>4.2741518656535842</v>
      </c>
      <c r="U22" s="355">
        <v>8.0825848849945228</v>
      </c>
      <c r="V22" s="394">
        <f>SUM(C22:U22)</f>
        <v>167.87465140893059</v>
      </c>
      <c r="W22" s="610" t="s">
        <v>199</v>
      </c>
      <c r="Y22" s="356">
        <f>V22/1000</f>
        <v>0.1678746514089306</v>
      </c>
      <c r="Z22" s="165">
        <v>16.312013626098633</v>
      </c>
      <c r="AB22" s="357"/>
    </row>
    <row r="23" spans="1:28" s="336" customFormat="1" ht="15.75">
      <c r="A23" s="336" t="s">
        <v>593</v>
      </c>
      <c r="B23" s="336">
        <v>284</v>
      </c>
      <c r="C23" s="342">
        <v>10.851772771792358</v>
      </c>
      <c r="D23" s="342">
        <v>13.044297230425412</v>
      </c>
      <c r="E23" s="342">
        <v>19.575123593895537</v>
      </c>
      <c r="F23" s="342">
        <v>2.9484784147204528</v>
      </c>
      <c r="G23" s="342">
        <v>32.621384122944789</v>
      </c>
      <c r="H23" s="342">
        <v>15.092796892341839</v>
      </c>
      <c r="I23" s="342">
        <v>5.2570351758793965</v>
      </c>
      <c r="J23" s="343">
        <v>8.8826508885431164</v>
      </c>
      <c r="K23" s="343">
        <v>16.137747331722682</v>
      </c>
      <c r="L23" s="343">
        <v>11.992545260915866</v>
      </c>
      <c r="M23" s="343">
        <v>5.8644025399268811</v>
      </c>
      <c r="N23" s="343">
        <f t="shared" si="4"/>
        <v>8.8128809546473335</v>
      </c>
      <c r="O23" s="343">
        <v>10.592264416315048</v>
      </c>
      <c r="P23" s="343">
        <f t="shared" si="1"/>
        <v>18.902632309291636</v>
      </c>
      <c r="Q23" s="343">
        <v>10.19415638184614</v>
      </c>
      <c r="R23" s="596">
        <v>12.316357142857143</v>
      </c>
      <c r="S23" s="343">
        <v>8.896046986721144</v>
      </c>
      <c r="T23" s="343">
        <v>8.3103678929765881</v>
      </c>
      <c r="U23" s="343">
        <v>12.542894337166413</v>
      </c>
      <c r="V23" s="395">
        <f>SUM(C23:U23)</f>
        <v>232.8358346449298</v>
      </c>
      <c r="W23" s="612" t="s">
        <v>211</v>
      </c>
      <c r="Y23" s="339">
        <f t="shared" si="3"/>
        <v>0.2328358346449298</v>
      </c>
      <c r="Z23" s="344">
        <v>21.86770439</v>
      </c>
      <c r="AB23" s="341"/>
    </row>
    <row r="24" spans="1:28" s="336" customFormat="1" ht="15.75">
      <c r="A24" s="336" t="s">
        <v>594</v>
      </c>
      <c r="B24" s="336">
        <v>285</v>
      </c>
      <c r="C24" s="342">
        <v>12.018570029382957</v>
      </c>
      <c r="D24" s="342">
        <v>16.590406257482641</v>
      </c>
      <c r="E24" s="342">
        <v>23.034677939385254</v>
      </c>
      <c r="F24" s="342">
        <v>3.6083510261854208</v>
      </c>
      <c r="G24" s="342">
        <v>48.603053738642913</v>
      </c>
      <c r="H24" s="342">
        <v>13.441964483906768</v>
      </c>
      <c r="I24" s="342">
        <v>6.0900827667750503</v>
      </c>
      <c r="J24" s="343">
        <v>9.7812259438211449</v>
      </c>
      <c r="K24" s="343">
        <v>16.952399155937488</v>
      </c>
      <c r="L24" s="343">
        <v>14.191693290734825</v>
      </c>
      <c r="M24" s="343">
        <v>4.4915720608043106</v>
      </c>
      <c r="N24" s="343">
        <f t="shared" si="4"/>
        <v>8.0999230869897314</v>
      </c>
      <c r="O24" s="343">
        <v>10.838131877223462</v>
      </c>
      <c r="P24" s="343">
        <f t="shared" si="1"/>
        <v>18.550506459163262</v>
      </c>
      <c r="Q24" s="343">
        <v>14.195950475138991</v>
      </c>
      <c r="R24" s="596">
        <v>6.5520714285714297</v>
      </c>
      <c r="S24" s="343">
        <v>8.2760163432073544</v>
      </c>
      <c r="T24" s="343">
        <v>7.7123745819397991</v>
      </c>
      <c r="U24" s="343">
        <v>11.54673464959861</v>
      </c>
      <c r="V24" s="395">
        <f>SUM(C24:U24)</f>
        <v>254.57570559489145</v>
      </c>
      <c r="W24" s="612" t="s">
        <v>211</v>
      </c>
      <c r="Y24" s="339">
        <f t="shared" si="3"/>
        <v>0.25457570559489145</v>
      </c>
      <c r="Z24" s="340">
        <v>30.116676330566406</v>
      </c>
      <c r="AB24" s="341"/>
    </row>
    <row r="25" spans="1:28" s="325" customFormat="1" ht="15.75">
      <c r="A25" s="325" t="s">
        <v>595</v>
      </c>
      <c r="B25" s="467">
        <v>286</v>
      </c>
      <c r="C25" s="351">
        <v>14.705838179403818</v>
      </c>
      <c r="D25" s="351">
        <v>16.682666666666666</v>
      </c>
      <c r="E25" s="351">
        <v>23.431461337295083</v>
      </c>
      <c r="F25" s="351">
        <v>3.5040057395671411</v>
      </c>
      <c r="G25" s="351">
        <v>36.890146389469798</v>
      </c>
      <c r="H25" s="351">
        <v>23.194892123339489</v>
      </c>
      <c r="I25" s="351">
        <v>5.0455792487500535</v>
      </c>
      <c r="J25" s="352">
        <v>8.6948374760994263</v>
      </c>
      <c r="K25" s="352">
        <v>17.112256106147608</v>
      </c>
      <c r="L25" s="352">
        <v>13.718858198045703</v>
      </c>
      <c r="M25" s="352">
        <v>5.4782297008015135</v>
      </c>
      <c r="N25" s="352">
        <f t="shared" si="4"/>
        <v>8.9822354403686546</v>
      </c>
      <c r="O25" s="352">
        <v>10.190378491382454</v>
      </c>
      <c r="P25" s="352">
        <f t="shared" si="1"/>
        <v>16.992565976258803</v>
      </c>
      <c r="Q25" s="352">
        <v>16.069083506405381</v>
      </c>
      <c r="R25" s="596">
        <v>10.573145306639388</v>
      </c>
      <c r="S25" s="352">
        <v>8.4373670765757733</v>
      </c>
      <c r="T25" s="352">
        <v>6.8021874848763497</v>
      </c>
      <c r="U25" s="352">
        <v>13.063088718510404</v>
      </c>
      <c r="V25" s="347">
        <f t="shared" si="2"/>
        <v>259.56882316660352</v>
      </c>
      <c r="W25" s="608" t="s">
        <v>211</v>
      </c>
      <c r="Y25" s="349">
        <f t="shared" si="3"/>
        <v>0.25956882316660351</v>
      </c>
      <c r="Z25" s="164">
        <v>27.466642379760742</v>
      </c>
      <c r="AB25" s="350"/>
    </row>
    <row r="26" spans="1:28" s="336" customFormat="1" ht="15.75">
      <c r="A26" s="336" t="s">
        <v>596</v>
      </c>
      <c r="B26" s="336">
        <v>288</v>
      </c>
      <c r="C26" s="342">
        <v>12.662722652136086</v>
      </c>
      <c r="D26" s="342">
        <v>17.454222222222221</v>
      </c>
      <c r="E26" s="342">
        <v>32.423554791244797</v>
      </c>
      <c r="F26" s="342">
        <v>3.8154729164175536</v>
      </c>
      <c r="G26" s="342">
        <v>47.701456865191645</v>
      </c>
      <c r="H26" s="342">
        <v>14.533083184555332</v>
      </c>
      <c r="I26" s="342">
        <v>6.7983419511986662</v>
      </c>
      <c r="J26" s="343">
        <v>11.633604206500955</v>
      </c>
      <c r="K26" s="343">
        <v>20.106175775688062</v>
      </c>
      <c r="L26" s="343">
        <v>15.594983457721012</v>
      </c>
      <c r="M26" s="343">
        <v>4.1344352068502008</v>
      </c>
      <c r="N26" s="343">
        <f t="shared" si="4"/>
        <v>7.949908123267754</v>
      </c>
      <c r="O26" s="343">
        <v>12.626832292097138</v>
      </c>
      <c r="P26" s="343">
        <f t="shared" si="1"/>
        <v>22.374419767294352</v>
      </c>
      <c r="Q26" s="343">
        <v>13.951504184573627</v>
      </c>
      <c r="R26" s="596">
        <v>12.597622874957377</v>
      </c>
      <c r="S26" s="343">
        <v>9.2353828788688883</v>
      </c>
      <c r="T26" s="343">
        <v>9.7475874751972142</v>
      </c>
      <c r="U26" s="343">
        <v>13.041621029572836</v>
      </c>
      <c r="V26" s="395">
        <f t="shared" si="2"/>
        <v>288.38293185555574</v>
      </c>
      <c r="W26" s="612" t="s">
        <v>211</v>
      </c>
      <c r="Y26" s="339">
        <f t="shared" si="3"/>
        <v>0.28838293185555575</v>
      </c>
      <c r="Z26" s="340">
        <v>25.956832885742188</v>
      </c>
      <c r="AB26" s="341"/>
    </row>
    <row r="27" spans="1:28" s="336" customFormat="1" ht="15.75">
      <c r="A27" s="336" t="s">
        <v>597</v>
      </c>
      <c r="B27" s="336">
        <v>289</v>
      </c>
      <c r="C27" s="342">
        <v>18.703328907001236</v>
      </c>
      <c r="D27" s="342">
        <v>12.721777777777778</v>
      </c>
      <c r="E27" s="342">
        <v>24.767331820540736</v>
      </c>
      <c r="F27" s="342">
        <v>4.2207341862967827</v>
      </c>
      <c r="G27" s="342">
        <v>49.170131627506457</v>
      </c>
      <c r="H27" s="342">
        <v>12.89799376645384</v>
      </c>
      <c r="I27" s="342">
        <v>5.502277680441007</v>
      </c>
      <c r="J27" s="343">
        <v>10.016730401529635</v>
      </c>
      <c r="K27" s="343">
        <v>29.784077858271655</v>
      </c>
      <c r="L27" s="343">
        <v>9.837347080095407</v>
      </c>
      <c r="M27" s="343">
        <v>5.3937272863045749</v>
      </c>
      <c r="N27" s="343">
        <f t="shared" si="4"/>
        <v>9.6144614726013575</v>
      </c>
      <c r="O27" s="343">
        <v>13.034348639910542</v>
      </c>
      <c r="P27" s="343">
        <f t="shared" si="1"/>
        <v>22.076675504354235</v>
      </c>
      <c r="Q27" s="343">
        <v>18.554452920976335</v>
      </c>
      <c r="R27" s="596">
        <v>11.96603828730089</v>
      </c>
      <c r="S27" s="343">
        <v>7.6693518683538295</v>
      </c>
      <c r="T27" s="343">
        <v>9.0423268644436927</v>
      </c>
      <c r="U27" s="343">
        <v>12.078641840087622</v>
      </c>
      <c r="V27" s="395">
        <f t="shared" si="2"/>
        <v>287.05175579024763</v>
      </c>
      <c r="W27" s="612" t="s">
        <v>211</v>
      </c>
      <c r="Y27" s="339">
        <f t="shared" si="3"/>
        <v>0.28705175579024761</v>
      </c>
      <c r="Z27" s="340">
        <v>25.907960891723633</v>
      </c>
      <c r="AB27" s="341"/>
    </row>
    <row r="28" spans="1:28" s="336" customFormat="1" ht="15.75">
      <c r="A28" s="336" t="s">
        <v>598</v>
      </c>
      <c r="B28" s="336">
        <v>290</v>
      </c>
      <c r="C28" s="342">
        <v>11.235569394203031</v>
      </c>
      <c r="D28" s="342">
        <v>10.122666666666667</v>
      </c>
      <c r="E28" s="342">
        <v>21.018591067739866</v>
      </c>
      <c r="F28" s="342">
        <v>3.3907449479851728</v>
      </c>
      <c r="G28" s="342">
        <v>40.6879074916964</v>
      </c>
      <c r="H28" s="342">
        <v>13.190885708233729</v>
      </c>
      <c r="I28" s="342">
        <v>4.4439468398786373</v>
      </c>
      <c r="J28" s="343">
        <v>7.2861854684512419</v>
      </c>
      <c r="K28" s="343">
        <v>20.944826399211401</v>
      </c>
      <c r="L28" s="343">
        <v>8.7946449180580135</v>
      </c>
      <c r="M28" s="343">
        <v>4.0856573903519688</v>
      </c>
      <c r="N28" s="393">
        <f t="shared" si="4"/>
        <v>7.4764023383371416</v>
      </c>
      <c r="O28" s="343">
        <v>9.7235870384325533</v>
      </c>
      <c r="P28" s="343">
        <f t="shared" si="1"/>
        <v>16.021530221900591</v>
      </c>
      <c r="Q28" s="343">
        <v>13.933671937652939</v>
      </c>
      <c r="R28" s="596">
        <v>9.18156266744605</v>
      </c>
      <c r="S28" s="343">
        <v>6.644531574882671</v>
      </c>
      <c r="T28" s="343">
        <v>6.2979431834680355</v>
      </c>
      <c r="U28" s="343">
        <v>9.2479737130339519</v>
      </c>
      <c r="V28" s="395">
        <f t="shared" si="2"/>
        <v>223.72882896763008</v>
      </c>
      <c r="W28" s="613" t="s">
        <v>199</v>
      </c>
      <c r="Y28" s="339">
        <f t="shared" si="3"/>
        <v>0.22372882896763008</v>
      </c>
      <c r="Z28" s="340">
        <v>19.914422988891602</v>
      </c>
      <c r="AB28" s="341"/>
    </row>
    <row r="29" spans="1:28" s="325" customFormat="1" ht="15.75">
      <c r="A29" s="325" t="s">
        <v>599</v>
      </c>
      <c r="B29" s="469">
        <v>291</v>
      </c>
      <c r="C29" s="351">
        <v>15.586977425706305</v>
      </c>
      <c r="D29" s="351">
        <v>16.378074074074075</v>
      </c>
      <c r="E29" s="351">
        <v>24.184872752434543</v>
      </c>
      <c r="F29" s="351">
        <v>3.0102594762644985</v>
      </c>
      <c r="G29" s="351">
        <v>33.628947507161307</v>
      </c>
      <c r="H29" s="351">
        <v>28.106878082730663</v>
      </c>
      <c r="I29" s="351">
        <v>4.708790222640058</v>
      </c>
      <c r="J29" s="352">
        <v>8.9109464627151045</v>
      </c>
      <c r="K29" s="352">
        <v>20.869158673780721</v>
      </c>
      <c r="L29" s="352">
        <v>12.4804185581288</v>
      </c>
      <c r="M29" s="352">
        <v>4.4236670483397216</v>
      </c>
      <c r="N29" s="352">
        <f t="shared" si="4"/>
        <v>7.4339265246042201</v>
      </c>
      <c r="O29" s="352">
        <v>9.3061915064297338</v>
      </c>
      <c r="P29" s="352">
        <f t="shared" si="1"/>
        <v>15.072633939764682</v>
      </c>
      <c r="Q29" s="352">
        <v>20.596245193395163</v>
      </c>
      <c r="R29" s="596">
        <v>10.587559062789223</v>
      </c>
      <c r="S29" s="352">
        <v>7.6753519871680629</v>
      </c>
      <c r="T29" s="352">
        <v>5.7664424333349471</v>
      </c>
      <c r="U29" s="352">
        <v>12.343921139101862</v>
      </c>
      <c r="V29" s="347">
        <f t="shared" si="2"/>
        <v>261.07126207056371</v>
      </c>
      <c r="W29" s="608" t="s">
        <v>211</v>
      </c>
      <c r="Y29" s="349">
        <f t="shared" si="3"/>
        <v>0.26107126207056369</v>
      </c>
      <c r="Z29" s="164">
        <v>24.206619262695313</v>
      </c>
      <c r="AB29" s="350"/>
    </row>
    <row r="30" spans="1:28" s="325" customFormat="1" ht="15.75">
      <c r="A30" s="325" t="s">
        <v>600</v>
      </c>
      <c r="B30" s="468">
        <v>292</v>
      </c>
      <c r="C30" s="351">
        <v>10.239589724804249</v>
      </c>
      <c r="D30" s="351">
        <v>11.102814814814815</v>
      </c>
      <c r="E30" s="351">
        <v>18.34440792486237</v>
      </c>
      <c r="F30" s="351">
        <v>4.0207581011598705</v>
      </c>
      <c r="G30" s="351">
        <v>37.251041245628528</v>
      </c>
      <c r="H30" s="351">
        <v>18.281562622930981</v>
      </c>
      <c r="I30" s="351">
        <v>3.4815435237810348</v>
      </c>
      <c r="J30" s="352">
        <v>7.4281548757170164</v>
      </c>
      <c r="K30" s="352">
        <v>16.001201671073837</v>
      </c>
      <c r="L30" s="352">
        <v>8.5324305608986695</v>
      </c>
      <c r="M30" s="352">
        <v>5.3559416538059441</v>
      </c>
      <c r="N30" s="352">
        <f t="shared" si="4"/>
        <v>9.3766997549658146</v>
      </c>
      <c r="O30" s="352">
        <v>8.4491722779979082</v>
      </c>
      <c r="P30" s="352">
        <f t="shared" si="1"/>
        <v>13.184980243927349</v>
      </c>
      <c r="Q30" s="352">
        <v>17.482289074869939</v>
      </c>
      <c r="R30" s="596">
        <v>11.812728335525353</v>
      </c>
      <c r="S30" s="352">
        <v>7.0057387274995548</v>
      </c>
      <c r="T30" s="352">
        <v>4.7358079659294399</v>
      </c>
      <c r="U30" s="352">
        <v>10.404162102957283</v>
      </c>
      <c r="V30" s="347">
        <f t="shared" si="2"/>
        <v>222.49102520314995</v>
      </c>
      <c r="W30" s="608" t="s">
        <v>211</v>
      </c>
      <c r="Y30" s="349">
        <f t="shared" si="3"/>
        <v>0.22249102520314995</v>
      </c>
      <c r="Z30" s="164">
        <v>21.805997848510742</v>
      </c>
      <c r="AB30" s="350"/>
    </row>
    <row r="31" spans="1:28" s="325" customFormat="1" ht="15.75">
      <c r="A31" s="325" t="s">
        <v>601</v>
      </c>
      <c r="B31" s="468">
        <v>293</v>
      </c>
      <c r="C31" s="351">
        <v>13.63782224460827</v>
      </c>
      <c r="D31" s="351">
        <v>14.044444444444443</v>
      </c>
      <c r="E31" s="351">
        <v>24.592716208928188</v>
      </c>
      <c r="F31" s="351">
        <v>2.2333612340069351</v>
      </c>
      <c r="G31" s="351">
        <v>27.995641706061193</v>
      </c>
      <c r="H31" s="351">
        <v>23.507937180379464</v>
      </c>
      <c r="I31" s="351">
        <v>3.9830776462544333</v>
      </c>
      <c r="J31" s="352">
        <v>7.4770554493307841</v>
      </c>
      <c r="K31" s="352">
        <v>15.605207241319958</v>
      </c>
      <c r="L31" s="352">
        <v>11.440178502731399</v>
      </c>
      <c r="M31" s="393">
        <v>3.9139045153581917</v>
      </c>
      <c r="N31" s="393">
        <f t="shared" si="4"/>
        <v>6.1472657493651273</v>
      </c>
      <c r="O31" s="352">
        <v>8.6455210637625495</v>
      </c>
      <c r="P31" s="352">
        <f t="shared" si="1"/>
        <v>13.812321625152475</v>
      </c>
      <c r="Q31" s="352">
        <v>17.750887294112811</v>
      </c>
      <c r="R31" s="596">
        <v>11.331833016708069</v>
      </c>
      <c r="S31" s="352">
        <v>8.2033624428206515</v>
      </c>
      <c r="T31" s="352">
        <v>5.1668005613899251</v>
      </c>
      <c r="U31" s="352">
        <v>11.460679079956186</v>
      </c>
      <c r="V31" s="347">
        <f t="shared" si="2"/>
        <v>230.950017206691</v>
      </c>
      <c r="W31" s="609" t="s">
        <v>199</v>
      </c>
      <c r="Y31" s="349">
        <f t="shared" si="3"/>
        <v>0.23095001720669101</v>
      </c>
      <c r="Z31" s="164">
        <v>22.278650283813477</v>
      </c>
      <c r="AB31" s="350"/>
    </row>
    <row r="32" spans="1:28" s="325" customFormat="1" ht="15.75">
      <c r="A32" s="325" t="s">
        <v>602</v>
      </c>
      <c r="B32" s="468">
        <v>294</v>
      </c>
      <c r="C32" s="351">
        <v>13.989651540821466</v>
      </c>
      <c r="D32" s="351">
        <v>14.492444444444443</v>
      </c>
      <c r="E32" s="351">
        <v>20.521608173150305</v>
      </c>
      <c r="F32" s="351">
        <v>1.9148152576826498</v>
      </c>
      <c r="G32" s="351">
        <v>34.017327733159938</v>
      </c>
      <c r="H32" s="351">
        <v>26.642418373831212</v>
      </c>
      <c r="I32" s="351">
        <v>4.1874449809837184</v>
      </c>
      <c r="J32" s="352">
        <v>7.4865200764818365</v>
      </c>
      <c r="K32" s="352">
        <v>15.133545086135404</v>
      </c>
      <c r="L32" s="352">
        <v>9.372008925136571</v>
      </c>
      <c r="M32" s="393">
        <v>3.7552048588639417</v>
      </c>
      <c r="N32" s="393">
        <f t="shared" si="4"/>
        <v>5.670020116546592</v>
      </c>
      <c r="O32" s="352">
        <v>8.0428908282081828</v>
      </c>
      <c r="P32" s="352">
        <f t="shared" si="1"/>
        <v>12.725889424733374</v>
      </c>
      <c r="Q32" s="352">
        <v>19.218704118771978</v>
      </c>
      <c r="R32" s="596">
        <v>9.9389400360465672</v>
      </c>
      <c r="S32" s="352">
        <v>6.7837343313728988</v>
      </c>
      <c r="T32" s="352">
        <v>4.6829985965251906</v>
      </c>
      <c r="U32" s="352">
        <v>10.401095290251916</v>
      </c>
      <c r="V32" s="347">
        <f t="shared" si="2"/>
        <v>228.97726219314819</v>
      </c>
      <c r="W32" s="609" t="s">
        <v>199</v>
      </c>
      <c r="Y32" s="349">
        <f t="shared" si="3"/>
        <v>0.22897726219314818</v>
      </c>
      <c r="Z32" s="164">
        <v>22.01154899597168</v>
      </c>
      <c r="AB32" s="350"/>
    </row>
    <row r="33" spans="1:26" s="325" customFormat="1" ht="15.75" hidden="1">
      <c r="A33" s="325" t="s">
        <v>603</v>
      </c>
      <c r="B33" s="325">
        <v>295</v>
      </c>
      <c r="C33" s="351">
        <v>22.481782566111654</v>
      </c>
      <c r="D33" s="351">
        <v>21.801197222443928</v>
      </c>
      <c r="E33" s="351">
        <v>29.708748298344918</v>
      </c>
      <c r="F33" s="351">
        <v>4.6884996461429589</v>
      </c>
      <c r="G33" s="351">
        <v>47.46845861746754</v>
      </c>
      <c r="H33" s="351">
        <v>30.953107658157599</v>
      </c>
      <c r="I33" s="351">
        <v>6.9997635234998512</v>
      </c>
      <c r="J33" s="351">
        <v>14.859593808860865</v>
      </c>
      <c r="K33" s="352">
        <v>24.130208874889139</v>
      </c>
      <c r="L33" s="352">
        <v>20.441959531416401</v>
      </c>
      <c r="M33" s="352">
        <v>7.4051856840484893</v>
      </c>
      <c r="N33" s="352">
        <f t="shared" si="4"/>
        <v>12.093685330191448</v>
      </c>
      <c r="O33" s="352">
        <v>13.826367171341111</v>
      </c>
      <c r="P33" s="352">
        <f t="shared" si="1"/>
        <v>24.615664830203986</v>
      </c>
      <c r="Q33" s="352">
        <v>23.892153306257637</v>
      </c>
      <c r="R33" s="596">
        <v>9.6647857142857152</v>
      </c>
      <c r="S33" s="352">
        <v>14.925097037793668</v>
      </c>
      <c r="T33" s="352">
        <v>10.789297658862875</v>
      </c>
      <c r="U33" s="352">
        <v>19.745649815578215</v>
      </c>
      <c r="V33" s="348">
        <f>SUM(C33:U33)</f>
        <v>360.49120629589794</v>
      </c>
      <c r="W33" s="607"/>
      <c r="Y33" s="349">
        <f t="shared" si="3"/>
        <v>0.36049120629589793</v>
      </c>
      <c r="Z33" s="164">
        <v>37.328910829999998</v>
      </c>
    </row>
    <row r="34" spans="1:26" s="353" customFormat="1">
      <c r="A34" s="498" t="s">
        <v>604</v>
      </c>
      <c r="B34" s="498">
        <v>300</v>
      </c>
      <c r="C34" s="499">
        <v>6.9420000000000002</v>
      </c>
      <c r="D34" s="499">
        <v>8.4030000000000005</v>
      </c>
      <c r="E34" s="499">
        <v>12.715</v>
      </c>
      <c r="F34" s="499">
        <v>2.39</v>
      </c>
      <c r="G34" s="499">
        <v>20.152000000000001</v>
      </c>
      <c r="H34" s="499">
        <v>5.3079999999999998</v>
      </c>
      <c r="I34" s="499">
        <v>2.4340000000000002</v>
      </c>
      <c r="J34" s="499">
        <v>4.9530000000000003</v>
      </c>
      <c r="K34" s="499">
        <v>10.009</v>
      </c>
      <c r="L34" s="499">
        <v>6.69</v>
      </c>
      <c r="M34" s="504">
        <v>2.0329999999999999</v>
      </c>
      <c r="N34" s="500">
        <f>M34+F34</f>
        <v>4.423</v>
      </c>
      <c r="O34" s="499">
        <v>5.7169999999999996</v>
      </c>
      <c r="P34" s="500">
        <f>O34+T34</f>
        <v>9.6739999999999995</v>
      </c>
      <c r="Q34" s="499">
        <v>5.4560000000000004</v>
      </c>
      <c r="R34" s="597">
        <v>6.7679999999999998</v>
      </c>
      <c r="S34" s="504">
        <v>4.3920000000000003</v>
      </c>
      <c r="T34" s="499">
        <v>3.9569999999999999</v>
      </c>
      <c r="U34" s="499">
        <v>6.16</v>
      </c>
      <c r="V34" s="394">
        <f>SUM(C34:U34)</f>
        <v>128.57600000000002</v>
      </c>
      <c r="W34" s="610" t="s">
        <v>199</v>
      </c>
      <c r="Y34" s="356">
        <f>V34/1000</f>
        <v>0.12857600000000002</v>
      </c>
    </row>
    <row r="35" spans="1:26" ht="15.75">
      <c r="A35" s="472" t="s">
        <v>605</v>
      </c>
      <c r="B35" s="251" t="s">
        <v>606</v>
      </c>
      <c r="C35" s="463"/>
      <c r="D35" s="463"/>
      <c r="E35" s="463"/>
      <c r="F35" s="463"/>
      <c r="G35" s="463"/>
      <c r="H35" s="463"/>
      <c r="I35" s="463"/>
      <c r="J35" s="463"/>
      <c r="K35" s="464"/>
      <c r="L35" s="464"/>
      <c r="M35" s="464"/>
      <c r="N35" s="464"/>
      <c r="O35" s="464"/>
      <c r="P35" s="464"/>
      <c r="Q35" s="464"/>
      <c r="R35" s="596"/>
      <c r="S35" s="464"/>
      <c r="T35" s="464"/>
      <c r="U35" s="464"/>
      <c r="V35" s="256"/>
      <c r="W35" s="256"/>
      <c r="Y35" s="465"/>
      <c r="Z35" s="466"/>
    </row>
    <row r="36" spans="1:26" ht="16.149999999999999" customHeight="1">
      <c r="A36" s="970" t="s">
        <v>268</v>
      </c>
      <c r="B36" s="251" t="s">
        <v>440</v>
      </c>
      <c r="C36" s="463">
        <f t="shared" ref="C36:U36" si="5">MEDIAN(C4:C9,C25)</f>
        <v>16.557901002793166</v>
      </c>
      <c r="D36" s="463">
        <f t="shared" si="5"/>
        <v>16.682666666666666</v>
      </c>
      <c r="E36" s="463">
        <f t="shared" si="5"/>
        <v>27.098389181158606</v>
      </c>
      <c r="F36" s="463">
        <f t="shared" si="5"/>
        <v>3.5040057395671411</v>
      </c>
      <c r="G36" s="463">
        <f t="shared" si="5"/>
        <v>37.22714092402861</v>
      </c>
      <c r="H36" s="463">
        <f t="shared" si="5"/>
        <v>23.194892123339489</v>
      </c>
      <c r="I36" s="463">
        <f t="shared" si="5"/>
        <v>5.4386735609589332</v>
      </c>
      <c r="J36" s="463">
        <f t="shared" si="5"/>
        <v>10.728154875717017</v>
      </c>
      <c r="K36" s="463">
        <f t="shared" si="5"/>
        <v>21.292897936192514</v>
      </c>
      <c r="L36" s="463">
        <f t="shared" si="5"/>
        <v>15.751327229360623</v>
      </c>
      <c r="M36" s="463">
        <f t="shared" si="5"/>
        <v>5.5215114252999458</v>
      </c>
      <c r="N36" s="463">
        <f t="shared" si="5"/>
        <v>8.8129661882564996</v>
      </c>
      <c r="O36" s="463">
        <f t="shared" si="5"/>
        <v>10.77325035855799</v>
      </c>
      <c r="P36" s="463">
        <f t="shared" si="5"/>
        <v>18.471493595261279</v>
      </c>
      <c r="Q36" s="463">
        <f t="shared" si="5"/>
        <v>16.069083506405381</v>
      </c>
      <c r="R36" s="598">
        <f t="shared" si="5"/>
        <v>11.399970773052752</v>
      </c>
      <c r="S36" s="463">
        <f t="shared" si="5"/>
        <v>9.2365829026317368</v>
      </c>
      <c r="T36" s="463">
        <f t="shared" si="5"/>
        <v>7.7663843585152224</v>
      </c>
      <c r="U36" s="463">
        <f t="shared" si="5"/>
        <v>13.868127053669221</v>
      </c>
      <c r="V36" s="348">
        <f>SUM(C36:U36)</f>
        <v>279.39541940143278</v>
      </c>
      <c r="W36" s="348"/>
      <c r="Y36" s="465"/>
      <c r="Z36" s="466"/>
    </row>
    <row r="37" spans="1:26" ht="16.149999999999999" customHeight="1">
      <c r="A37" s="970"/>
      <c r="B37" s="251" t="s">
        <v>258</v>
      </c>
      <c r="C37" s="463">
        <f t="shared" ref="C37:U37" si="6">MEDIAN(C31,C30,C32,C10:C12)</f>
        <v>12.334777116785428</v>
      </c>
      <c r="D37" s="463">
        <f t="shared" si="6"/>
        <v>12.084779311996169</v>
      </c>
      <c r="E37" s="463">
        <f t="shared" si="6"/>
        <v>19.433008049006339</v>
      </c>
      <c r="F37" s="463">
        <f t="shared" si="6"/>
        <v>2.5824095625094832</v>
      </c>
      <c r="G37" s="463">
        <f t="shared" si="6"/>
        <v>31.570438776118806</v>
      </c>
      <c r="H37" s="463">
        <f t="shared" si="6"/>
        <v>18.086075429112547</v>
      </c>
      <c r="I37" s="463">
        <f t="shared" si="6"/>
        <v>4.4224691650410755</v>
      </c>
      <c r="J37" s="463">
        <f t="shared" si="6"/>
        <v>7.4526051625239003</v>
      </c>
      <c r="K37" s="463">
        <f t="shared" si="6"/>
        <v>15.369376163727681</v>
      </c>
      <c r="L37" s="463">
        <f t="shared" si="6"/>
        <v>10.156549520766774</v>
      </c>
      <c r="M37" s="463">
        <f t="shared" si="6"/>
        <v>4.0674515856026288</v>
      </c>
      <c r="N37" s="463">
        <f t="shared" si="6"/>
        <v>6.4734215412717493</v>
      </c>
      <c r="O37" s="463">
        <f t="shared" si="6"/>
        <v>8.2460315531030446</v>
      </c>
      <c r="P37" s="463">
        <f t="shared" si="6"/>
        <v>12.821359540979644</v>
      </c>
      <c r="Q37" s="463">
        <f t="shared" si="6"/>
        <v>17.139569284093223</v>
      </c>
      <c r="R37" s="598">
        <f t="shared" si="6"/>
        <v>10.635386526377317</v>
      </c>
      <c r="S37" s="463">
        <f t="shared" si="6"/>
        <v>7.0744934699806254</v>
      </c>
      <c r="T37" s="463">
        <f t="shared" si="6"/>
        <v>4.7592083307908073</v>
      </c>
      <c r="U37" s="463">
        <f t="shared" si="6"/>
        <v>10.4026286966046</v>
      </c>
      <c r="V37" s="348">
        <f t="shared" ref="V37:V40" si="7">SUM(C37:U37)</f>
        <v>215.11203878639191</v>
      </c>
      <c r="W37" s="348"/>
      <c r="Y37" s="465"/>
      <c r="Z37" s="466"/>
    </row>
    <row r="38" spans="1:26" ht="16.149999999999999" customHeight="1">
      <c r="A38" s="970"/>
      <c r="B38" s="251" t="s">
        <v>509</v>
      </c>
      <c r="C38" s="463">
        <f t="shared" ref="C38:U38" si="8">MEDIAN(C13:C17,C29)</f>
        <v>15.07285208209899</v>
      </c>
      <c r="D38" s="463">
        <f t="shared" si="8"/>
        <v>14.911407407407406</v>
      </c>
      <c r="E38" s="463">
        <f t="shared" si="8"/>
        <v>23.189075330965778</v>
      </c>
      <c r="F38" s="463">
        <f t="shared" si="8"/>
        <v>2.696405850374366</v>
      </c>
      <c r="G38" s="463">
        <f t="shared" si="8"/>
        <v>32.975871219443611</v>
      </c>
      <c r="H38" s="463">
        <f t="shared" si="8"/>
        <v>23.638260659061338</v>
      </c>
      <c r="I38" s="463">
        <f t="shared" si="8"/>
        <v>4.9997008674842949</v>
      </c>
      <c r="J38" s="463">
        <f t="shared" si="8"/>
        <v>8.9472275334608025</v>
      </c>
      <c r="K38" s="463">
        <f t="shared" si="8"/>
        <v>16.917414432194089</v>
      </c>
      <c r="L38" s="463">
        <f t="shared" si="8"/>
        <v>12.762573496316797</v>
      </c>
      <c r="M38" s="463">
        <f t="shared" si="8"/>
        <v>4.5985114750833871</v>
      </c>
      <c r="N38" s="463">
        <f t="shared" si="8"/>
        <v>7.5880187537861872</v>
      </c>
      <c r="O38" s="463">
        <f t="shared" si="8"/>
        <v>9.7259493670886066</v>
      </c>
      <c r="P38" s="463">
        <f t="shared" si="8"/>
        <v>15.82117838807355</v>
      </c>
      <c r="Q38" s="463">
        <f t="shared" si="8"/>
        <v>16.7849686823395</v>
      </c>
      <c r="R38" s="598">
        <f t="shared" si="8"/>
        <v>10.671420916751909</v>
      </c>
      <c r="S38" s="463">
        <f t="shared" si="8"/>
        <v>7.6749538281090572</v>
      </c>
      <c r="T38" s="463">
        <f t="shared" si="8"/>
        <v>6.016009291971157</v>
      </c>
      <c r="U38" s="463">
        <f t="shared" si="8"/>
        <v>11.582266492744683</v>
      </c>
      <c r="V38" s="348">
        <f t="shared" si="7"/>
        <v>246.57406607475556</v>
      </c>
      <c r="W38" s="348"/>
      <c r="Y38" s="465"/>
      <c r="Z38" s="466"/>
    </row>
    <row r="39" spans="1:26" ht="16.149999999999999" customHeight="1">
      <c r="A39" s="970"/>
      <c r="B39" s="251" t="s">
        <v>2</v>
      </c>
      <c r="C39" s="463">
        <f>MEDIAN(C18:C22,C34)</f>
        <v>7.9516552955721416</v>
      </c>
      <c r="D39" s="463">
        <f>MEDIAN(D18:D22,D34)</f>
        <v>7.1952592592592586</v>
      </c>
      <c r="E39" s="463">
        <f t="shared" ref="E39:U39" si="9">MEDIAN(E18:E22,E34)</f>
        <v>15.344804778525127</v>
      </c>
      <c r="F39" s="463">
        <f t="shared" si="9"/>
        <v>2.4665293554944396</v>
      </c>
      <c r="G39" s="463">
        <f t="shared" si="9"/>
        <v>20.344175667363757</v>
      </c>
      <c r="H39" s="463">
        <f t="shared" si="9"/>
        <v>10.198919938531699</v>
      </c>
      <c r="I39" s="463">
        <f t="shared" si="9"/>
        <v>3.2662279389769666</v>
      </c>
      <c r="J39" s="463">
        <f t="shared" si="9"/>
        <v>5.8791108986615672</v>
      </c>
      <c r="K39" s="463">
        <f t="shared" si="9"/>
        <v>12.838290748071534</v>
      </c>
      <c r="L39" s="463">
        <f t="shared" si="9"/>
        <v>8.6321458798184203</v>
      </c>
      <c r="M39" s="463">
        <f t="shared" si="9"/>
        <v>4.6874794643301634</v>
      </c>
      <c r="N39" s="463">
        <f t="shared" si="9"/>
        <v>7.1340895324875238</v>
      </c>
      <c r="O39" s="463">
        <f t="shared" si="9"/>
        <v>6.2174226244013902</v>
      </c>
      <c r="P39" s="463">
        <f t="shared" si="9"/>
        <v>10.332998557228184</v>
      </c>
      <c r="Q39" s="463">
        <f t="shared" si="9"/>
        <v>6.6280232773333889</v>
      </c>
      <c r="R39" s="598">
        <f t="shared" si="9"/>
        <v>7.0339561595791311</v>
      </c>
      <c r="S39" s="463">
        <f>MEDIAN(S18:S22,S34)</f>
        <v>4.2828413235905671</v>
      </c>
      <c r="T39" s="463">
        <f t="shared" si="9"/>
        <v>4.1155759328267916</v>
      </c>
      <c r="U39" s="463">
        <f t="shared" si="9"/>
        <v>6.770755750273822</v>
      </c>
      <c r="V39" s="348">
        <f>SUM(C39:U39)</f>
        <v>151.32026238232586</v>
      </c>
      <c r="W39" s="348"/>
      <c r="Y39" s="465"/>
      <c r="Z39" s="466"/>
    </row>
    <row r="40" spans="1:26" ht="15.75">
      <c r="A40" s="251" t="s">
        <v>510</v>
      </c>
      <c r="B40" s="251" t="s">
        <v>510</v>
      </c>
      <c r="C40" s="463">
        <f>MEDIAN(C3,C23,C24,C26:C28)</f>
        <v>12.340646340759521</v>
      </c>
      <c r="D40" s="463">
        <f t="shared" ref="D40:U40" si="10">MEDIAN(D3,D23,D24,D26:D28)</f>
        <v>14.817351743954028</v>
      </c>
      <c r="E40" s="463">
        <f t="shared" si="10"/>
        <v>23.901004879962997</v>
      </c>
      <c r="F40" s="463">
        <f t="shared" si="10"/>
        <v>3.6718506723283797</v>
      </c>
      <c r="G40" s="463">
        <f t="shared" si="10"/>
        <v>46.835658550490805</v>
      </c>
      <c r="H40" s="463">
        <f t="shared" si="10"/>
        <v>13.98752383423105</v>
      </c>
      <c r="I40" s="463">
        <f t="shared" si="10"/>
        <v>5.7961802236080286</v>
      </c>
      <c r="J40" s="463">
        <f t="shared" si="10"/>
        <v>9.89897817267539</v>
      </c>
      <c r="K40" s="463">
        <f t="shared" si="10"/>
        <v>20.525501087449733</v>
      </c>
      <c r="L40" s="463">
        <f t="shared" si="10"/>
        <v>13.092119275825347</v>
      </c>
      <c r="M40" s="463">
        <f t="shared" si="10"/>
        <v>4.9426496735544427</v>
      </c>
      <c r="N40" s="463">
        <f t="shared" si="10"/>
        <v>8.4564020208185333</v>
      </c>
      <c r="O40" s="463">
        <f t="shared" si="10"/>
        <v>11.732482084660301</v>
      </c>
      <c r="P40" s="463">
        <f t="shared" si="10"/>
        <v>20.489653906822937</v>
      </c>
      <c r="Q40" s="463">
        <f t="shared" si="10"/>
        <v>14.073727329856309</v>
      </c>
      <c r="R40" s="598">
        <f t="shared" si="10"/>
        <v>10.573800477373471</v>
      </c>
      <c r="S40" s="463">
        <f>MEDIAN(S3,S23,S24,S26:S28)</f>
        <v>8.5860316649642492</v>
      </c>
      <c r="T40" s="463">
        <f t="shared" si="10"/>
        <v>8.6763473787101404</v>
      </c>
      <c r="U40" s="463">
        <f t="shared" si="10"/>
        <v>12.310768088627018</v>
      </c>
      <c r="V40" s="348">
        <f t="shared" si="7"/>
        <v>264.70867740667268</v>
      </c>
      <c r="W40" s="348"/>
      <c r="Y40" s="465"/>
      <c r="Z40" s="466"/>
    </row>
    <row r="42" spans="1:26">
      <c r="A42" s="472" t="s">
        <v>607</v>
      </c>
      <c r="B42" s="251" t="s">
        <v>440</v>
      </c>
      <c r="C42" s="251">
        <f>C36/10</f>
        <v>1.6557901002793165</v>
      </c>
      <c r="D42" s="251">
        <f>D36/10</f>
        <v>1.6682666666666666</v>
      </c>
      <c r="E42" s="251">
        <f t="shared" ref="E42:I42" si="11">E36/10</f>
        <v>2.7098389181158606</v>
      </c>
      <c r="F42" s="251">
        <f t="shared" si="11"/>
        <v>0.35040057395671409</v>
      </c>
      <c r="G42" s="251">
        <f t="shared" si="11"/>
        <v>3.7227140924028612</v>
      </c>
      <c r="H42" s="251">
        <f t="shared" si="11"/>
        <v>2.319489212333949</v>
      </c>
      <c r="I42" s="251">
        <f t="shared" si="11"/>
        <v>0.54386735609589332</v>
      </c>
      <c r="J42" s="251">
        <f t="shared" ref="J42:P42" si="12">J36/10</f>
        <v>1.0728154875717018</v>
      </c>
      <c r="K42" s="251">
        <f t="shared" si="12"/>
        <v>2.1292897936192512</v>
      </c>
      <c r="L42" s="251">
        <f t="shared" si="12"/>
        <v>1.5751327229360623</v>
      </c>
      <c r="M42" s="251">
        <f t="shared" si="12"/>
        <v>0.55215114252999453</v>
      </c>
      <c r="N42" s="251">
        <f t="shared" si="12"/>
        <v>0.88129661882564991</v>
      </c>
      <c r="O42" s="251">
        <f t="shared" si="12"/>
        <v>1.0773250358557989</v>
      </c>
      <c r="P42" s="251">
        <f t="shared" si="12"/>
        <v>1.8471493595261279</v>
      </c>
      <c r="Q42" s="251">
        <f t="shared" ref="Q42:V42" si="13">Q36/10</f>
        <v>1.6069083506405382</v>
      </c>
      <c r="R42" s="251">
        <f t="shared" si="13"/>
        <v>1.1399970773052752</v>
      </c>
      <c r="S42" s="251">
        <f t="shared" si="13"/>
        <v>0.9236582902631737</v>
      </c>
      <c r="T42" s="251">
        <f t="shared" si="13"/>
        <v>0.77663843585152226</v>
      </c>
      <c r="U42" s="251">
        <f t="shared" si="13"/>
        <v>1.3868127053669221</v>
      </c>
      <c r="V42" s="251">
        <f t="shared" si="13"/>
        <v>27.939541940143279</v>
      </c>
    </row>
    <row r="43" spans="1:26">
      <c r="B43" s="251" t="s">
        <v>258</v>
      </c>
      <c r="C43" s="251">
        <f>C37/10</f>
        <v>1.2334777116785429</v>
      </c>
      <c r="D43" s="251">
        <f>D37/10</f>
        <v>1.2084779311996168</v>
      </c>
      <c r="E43" s="251">
        <f t="shared" ref="E43:I43" si="14">E37/10</f>
        <v>1.9433008049006339</v>
      </c>
      <c r="F43" s="251">
        <f t="shared" si="14"/>
        <v>0.25824095625094834</v>
      </c>
      <c r="G43" s="251">
        <f t="shared" si="14"/>
        <v>3.1570438776118808</v>
      </c>
      <c r="H43" s="251">
        <f t="shared" si="14"/>
        <v>1.8086075429112547</v>
      </c>
      <c r="I43" s="251">
        <f t="shared" si="14"/>
        <v>0.44224691650410752</v>
      </c>
      <c r="J43" s="251">
        <f t="shared" ref="J43:P45" si="15">J37/10</f>
        <v>0.74526051625238998</v>
      </c>
      <c r="K43" s="251">
        <f t="shared" si="15"/>
        <v>1.5369376163727682</v>
      </c>
      <c r="L43" s="251">
        <f t="shared" si="15"/>
        <v>1.0156549520766773</v>
      </c>
      <c r="M43" s="251">
        <f t="shared" si="15"/>
        <v>0.40674515856026289</v>
      </c>
      <c r="N43" s="251">
        <f>N37/10</f>
        <v>0.64734215412717488</v>
      </c>
      <c r="O43" s="251">
        <f t="shared" si="15"/>
        <v>0.82460315531030448</v>
      </c>
      <c r="P43" s="251">
        <f t="shared" si="15"/>
        <v>1.2821359540979644</v>
      </c>
      <c r="Q43" s="251">
        <f t="shared" ref="Q43:V43" si="16">Q37/10</f>
        <v>1.7139569284093223</v>
      </c>
      <c r="R43" s="251">
        <f t="shared" si="16"/>
        <v>1.0635386526377317</v>
      </c>
      <c r="S43" s="251">
        <f t="shared" si="16"/>
        <v>0.7074493469980625</v>
      </c>
      <c r="T43" s="251">
        <f t="shared" si="16"/>
        <v>0.47592083307908073</v>
      </c>
      <c r="U43" s="251">
        <f t="shared" si="16"/>
        <v>1.0402628696604599</v>
      </c>
      <c r="V43" s="251">
        <f t="shared" si="16"/>
        <v>21.51120387863919</v>
      </c>
    </row>
    <row r="44" spans="1:26">
      <c r="B44" s="251" t="s">
        <v>509</v>
      </c>
      <c r="C44" s="251">
        <f t="shared" ref="C44" si="17">C38/10</f>
        <v>1.5072852082098991</v>
      </c>
      <c r="D44" s="251">
        <f t="shared" ref="D44:P45" si="18">D38/10</f>
        <v>1.4911407407407407</v>
      </c>
      <c r="E44" s="251">
        <f t="shared" ref="E44:I44" si="19">E38/10</f>
        <v>2.3189075330965778</v>
      </c>
      <c r="F44" s="251">
        <f t="shared" si="19"/>
        <v>0.2696405850374366</v>
      </c>
      <c r="G44" s="251">
        <f t="shared" si="19"/>
        <v>3.2975871219443613</v>
      </c>
      <c r="H44" s="251">
        <f t="shared" si="19"/>
        <v>2.3638260659061339</v>
      </c>
      <c r="I44" s="251">
        <f t="shared" si="19"/>
        <v>0.49997008674842947</v>
      </c>
      <c r="J44" s="251">
        <f t="shared" si="18"/>
        <v>0.8947227533460802</v>
      </c>
      <c r="K44" s="251">
        <f t="shared" si="18"/>
        <v>1.6917414432194089</v>
      </c>
      <c r="L44" s="251">
        <f t="shared" si="18"/>
        <v>1.2762573496316798</v>
      </c>
      <c r="M44" s="251">
        <f t="shared" si="18"/>
        <v>0.45985114750833872</v>
      </c>
      <c r="N44" s="251">
        <f t="shared" si="18"/>
        <v>0.75880187537861876</v>
      </c>
      <c r="O44" s="251">
        <f t="shared" si="18"/>
        <v>0.97259493670886066</v>
      </c>
      <c r="P44" s="251">
        <f t="shared" si="18"/>
        <v>1.5821178388073549</v>
      </c>
      <c r="Q44" s="251">
        <f t="shared" ref="Q44:V44" si="20">Q38/10</f>
        <v>1.6784968682339501</v>
      </c>
      <c r="R44" s="251">
        <f t="shared" si="20"/>
        <v>1.067142091675191</v>
      </c>
      <c r="S44" s="251">
        <f t="shared" si="20"/>
        <v>0.76749538281090568</v>
      </c>
      <c r="T44" s="251">
        <f t="shared" si="20"/>
        <v>0.60160092919711572</v>
      </c>
      <c r="U44" s="251">
        <f t="shared" si="20"/>
        <v>1.1582266492744684</v>
      </c>
      <c r="V44" s="251">
        <f t="shared" si="20"/>
        <v>24.657406607475558</v>
      </c>
    </row>
    <row r="45" spans="1:26">
      <c r="B45" s="251" t="s">
        <v>2</v>
      </c>
      <c r="C45" s="251">
        <f t="shared" ref="C45" si="21">C39/10</f>
        <v>0.7951655295572142</v>
      </c>
      <c r="D45" s="251">
        <f t="shared" si="18"/>
        <v>0.7195259259259259</v>
      </c>
      <c r="E45" s="251">
        <f t="shared" ref="E45:I45" si="22">E39/10</f>
        <v>1.5344804778525127</v>
      </c>
      <c r="F45" s="251">
        <f t="shared" si="22"/>
        <v>0.24665293554944395</v>
      </c>
      <c r="G45" s="251">
        <f t="shared" si="22"/>
        <v>2.0344175667363755</v>
      </c>
      <c r="H45" s="251">
        <f t="shared" si="22"/>
        <v>1.0198919938531699</v>
      </c>
      <c r="I45" s="251">
        <f t="shared" si="22"/>
        <v>0.32662279389769666</v>
      </c>
      <c r="J45" s="251">
        <f t="shared" si="15"/>
        <v>0.5879110898661567</v>
      </c>
      <c r="K45" s="251">
        <f t="shared" si="15"/>
        <v>1.2838290748071535</v>
      </c>
      <c r="L45" s="251">
        <f t="shared" si="15"/>
        <v>0.86321458798184203</v>
      </c>
      <c r="M45" s="251">
        <f t="shared" si="15"/>
        <v>0.46874794643301632</v>
      </c>
      <c r="N45" s="251">
        <f t="shared" si="15"/>
        <v>0.71340895324875242</v>
      </c>
      <c r="O45" s="251">
        <f t="shared" si="15"/>
        <v>0.62174226244013897</v>
      </c>
      <c r="P45" s="251">
        <f t="shared" si="15"/>
        <v>1.0332998557228184</v>
      </c>
      <c r="Q45" s="251">
        <f t="shared" ref="Q45:V45" si="23">Q39/10</f>
        <v>0.66280232773333891</v>
      </c>
      <c r="R45" s="251">
        <f t="shared" si="23"/>
        <v>0.70339561595791311</v>
      </c>
      <c r="S45" s="251">
        <f t="shared" si="23"/>
        <v>0.42828413235905671</v>
      </c>
      <c r="T45" s="251">
        <f t="shared" si="23"/>
        <v>0.41155759328267916</v>
      </c>
      <c r="U45" s="251">
        <f t="shared" si="23"/>
        <v>0.67707557502738225</v>
      </c>
      <c r="V45" s="251">
        <f t="shared" si="23"/>
        <v>15.132026238232587</v>
      </c>
    </row>
    <row r="46" spans="1:26">
      <c r="B46" s="251" t="s">
        <v>510</v>
      </c>
      <c r="C46" s="251">
        <f>C40/10</f>
        <v>1.2340646340759522</v>
      </c>
      <c r="D46" s="251">
        <f>D40/10</f>
        <v>1.4817351743954028</v>
      </c>
      <c r="E46" s="251">
        <f t="shared" ref="E46:I46" si="24">E40/10</f>
        <v>2.3901004879962997</v>
      </c>
      <c r="F46" s="251">
        <f t="shared" si="24"/>
        <v>0.36718506723283795</v>
      </c>
      <c r="G46" s="251">
        <f t="shared" si="24"/>
        <v>4.6835658550490802</v>
      </c>
      <c r="H46" s="251">
        <f t="shared" si="24"/>
        <v>1.398752383423105</v>
      </c>
      <c r="I46" s="251">
        <f t="shared" si="24"/>
        <v>0.57961802236080284</v>
      </c>
      <c r="J46" s="251">
        <f t="shared" ref="J46:P46" si="25">J40/10</f>
        <v>0.989897817267539</v>
      </c>
      <c r="K46" s="251">
        <f t="shared" si="25"/>
        <v>2.0525501087449731</v>
      </c>
      <c r="L46" s="251">
        <f t="shared" si="25"/>
        <v>1.3092119275825347</v>
      </c>
      <c r="M46" s="251">
        <f t="shared" si="25"/>
        <v>0.49426496735544428</v>
      </c>
      <c r="N46" s="251">
        <f t="shared" si="25"/>
        <v>0.84564020208185331</v>
      </c>
      <c r="O46" s="251">
        <f t="shared" si="25"/>
        <v>1.1732482084660301</v>
      </c>
      <c r="P46" s="251">
        <f t="shared" si="25"/>
        <v>2.0489653906822936</v>
      </c>
      <c r="Q46" s="251">
        <f t="shared" ref="Q46:V46" si="26">Q40/10</f>
        <v>1.4073727329856309</v>
      </c>
      <c r="R46" s="251">
        <f t="shared" si="26"/>
        <v>1.0573800477373472</v>
      </c>
      <c r="S46" s="251">
        <f t="shared" si="26"/>
        <v>0.85860316649642487</v>
      </c>
      <c r="T46" s="251">
        <f t="shared" si="26"/>
        <v>0.86763473787101408</v>
      </c>
      <c r="U46" s="251">
        <f t="shared" si="26"/>
        <v>1.2310768088627018</v>
      </c>
      <c r="V46" s="251">
        <f t="shared" si="26"/>
        <v>26.470867740667266</v>
      </c>
    </row>
    <row r="49" spans="1:16" ht="94.5">
      <c r="A49" s="254" t="s">
        <v>608</v>
      </c>
      <c r="B49" s="254" t="s">
        <v>609</v>
      </c>
      <c r="C49" s="249" t="s">
        <v>605</v>
      </c>
      <c r="N49" s="969" t="s">
        <v>610</v>
      </c>
      <c r="O49" s="969"/>
      <c r="P49" s="969"/>
    </row>
    <row r="50" spans="1:16" ht="15.75">
      <c r="A50" s="43" t="s">
        <v>611</v>
      </c>
      <c r="B50" s="12">
        <v>0.52</v>
      </c>
      <c r="C50" s="11">
        <f t="shared" ref="C50:C61" si="27">B50*10</f>
        <v>5.2</v>
      </c>
    </row>
    <row r="51" spans="1:16" ht="15.75">
      <c r="A51" s="43" t="s">
        <v>612</v>
      </c>
      <c r="B51" s="11">
        <v>0.23</v>
      </c>
      <c r="C51" s="11">
        <f t="shared" si="27"/>
        <v>2.3000000000000003</v>
      </c>
    </row>
    <row r="52" spans="1:16" ht="15.75">
      <c r="A52" s="43" t="s">
        <v>613</v>
      </c>
      <c r="B52" s="11">
        <v>0.46</v>
      </c>
      <c r="C52" s="11">
        <f t="shared" si="27"/>
        <v>4.6000000000000005</v>
      </c>
    </row>
    <row r="53" spans="1:16" ht="15.75">
      <c r="A53" s="43" t="s">
        <v>614</v>
      </c>
      <c r="B53" s="11">
        <v>0.82</v>
      </c>
      <c r="C53" s="11">
        <f t="shared" si="27"/>
        <v>8.1999999999999993</v>
      </c>
    </row>
    <row r="54" spans="1:16" ht="15.75">
      <c r="A54" s="43" t="s">
        <v>615</v>
      </c>
      <c r="B54" s="11">
        <v>0.42</v>
      </c>
      <c r="C54" s="11">
        <f t="shared" si="27"/>
        <v>4.2</v>
      </c>
    </row>
    <row r="55" spans="1:16" ht="15.75">
      <c r="A55" s="11" t="s">
        <v>616</v>
      </c>
      <c r="B55" s="11">
        <v>0.4</v>
      </c>
      <c r="C55" s="11">
        <f t="shared" si="27"/>
        <v>4</v>
      </c>
    </row>
    <row r="56" spans="1:16" ht="15.75">
      <c r="A56" s="45" t="s">
        <v>617</v>
      </c>
      <c r="B56" s="11">
        <v>0.76</v>
      </c>
      <c r="C56" s="11">
        <f t="shared" si="27"/>
        <v>7.6</v>
      </c>
    </row>
    <row r="57" spans="1:16" ht="15.75">
      <c r="A57" s="45" t="s">
        <v>618</v>
      </c>
      <c r="B57" s="11">
        <v>0.54</v>
      </c>
      <c r="C57" s="11">
        <f t="shared" si="27"/>
        <v>5.4</v>
      </c>
    </row>
    <row r="58" spans="1:16" ht="15.75">
      <c r="A58" s="45" t="s">
        <v>619</v>
      </c>
      <c r="B58" s="11">
        <v>0.89</v>
      </c>
      <c r="C58" s="11">
        <f t="shared" si="27"/>
        <v>8.9</v>
      </c>
    </row>
    <row r="59" spans="1:16" ht="15.75">
      <c r="A59" s="45" t="s">
        <v>620</v>
      </c>
      <c r="B59" s="11">
        <v>0.52</v>
      </c>
      <c r="C59" s="11">
        <f t="shared" si="27"/>
        <v>5.2</v>
      </c>
    </row>
    <row r="60" spans="1:16" ht="15.75">
      <c r="A60" s="45" t="s">
        <v>621</v>
      </c>
      <c r="B60" s="11">
        <v>0.17</v>
      </c>
      <c r="C60" s="11">
        <f t="shared" si="27"/>
        <v>1.7000000000000002</v>
      </c>
      <c r="D60" s="251" t="s">
        <v>531</v>
      </c>
      <c r="E60" s="251" t="s">
        <v>622</v>
      </c>
    </row>
    <row r="61" spans="1:16" ht="15.75">
      <c r="A61" s="43" t="s">
        <v>623</v>
      </c>
      <c r="B61" s="11">
        <v>0.59</v>
      </c>
      <c r="C61" s="11">
        <f t="shared" si="27"/>
        <v>5.8999999999999995</v>
      </c>
    </row>
    <row r="69" spans="1:26" ht="16.899999999999999" customHeight="1">
      <c r="B69" s="251" t="s">
        <v>624</v>
      </c>
      <c r="D69" s="11">
        <v>5.2</v>
      </c>
      <c r="I69" s="251">
        <v>2.3000000000000003</v>
      </c>
      <c r="J69" s="251">
        <v>4.6000000000000005</v>
      </c>
      <c r="K69" s="251">
        <v>8.1999999999999993</v>
      </c>
      <c r="L69" s="251">
        <v>4.2</v>
      </c>
      <c r="M69" s="251">
        <v>4</v>
      </c>
      <c r="N69" s="251">
        <v>7.6</v>
      </c>
      <c r="O69" s="251">
        <v>5.4</v>
      </c>
      <c r="P69" s="251">
        <v>8.9</v>
      </c>
      <c r="S69" s="251">
        <v>5.2</v>
      </c>
      <c r="U69" s="251">
        <v>5.8999999999999995</v>
      </c>
    </row>
    <row r="70" spans="1:26" ht="70.900000000000006" customHeight="1">
      <c r="A70" s="2" t="s">
        <v>0</v>
      </c>
      <c r="B70" s="161" t="s">
        <v>550</v>
      </c>
      <c r="C70" s="162" t="s">
        <v>551</v>
      </c>
      <c r="D70" s="239" t="s">
        <v>552</v>
      </c>
      <c r="E70" s="157" t="s">
        <v>553</v>
      </c>
      <c r="F70" s="157" t="s">
        <v>554</v>
      </c>
      <c r="G70" s="157" t="s">
        <v>555</v>
      </c>
      <c r="H70" s="157" t="s">
        <v>556</v>
      </c>
      <c r="I70" s="239" t="s">
        <v>557</v>
      </c>
      <c r="J70" s="239" t="s">
        <v>558</v>
      </c>
      <c r="K70" s="239" t="s">
        <v>559</v>
      </c>
      <c r="L70" s="239" t="s">
        <v>560</v>
      </c>
      <c r="M70" s="240" t="s">
        <v>561</v>
      </c>
      <c r="N70" s="241" t="s">
        <v>562</v>
      </c>
      <c r="O70" s="239" t="s">
        <v>563</v>
      </c>
      <c r="P70" s="242" t="s">
        <v>564</v>
      </c>
      <c r="Q70" s="157" t="s">
        <v>565</v>
      </c>
      <c r="R70" s="592" t="s">
        <v>566</v>
      </c>
      <c r="S70" s="239" t="s">
        <v>567</v>
      </c>
      <c r="T70" s="157" t="s">
        <v>568</v>
      </c>
      <c r="U70" s="239" t="s">
        <v>569</v>
      </c>
      <c r="V70" s="157" t="s">
        <v>570</v>
      </c>
      <c r="W70" s="159"/>
      <c r="Y70" s="262" t="s">
        <v>571</v>
      </c>
      <c r="Z70" s="3" t="s">
        <v>572</v>
      </c>
    </row>
    <row r="71" spans="1:26" ht="18">
      <c r="B71" s="251" t="s">
        <v>625</v>
      </c>
      <c r="C71" s="491">
        <f>AVERAGE(C36:C38)</f>
        <v>14.655176733892526</v>
      </c>
      <c r="D71" s="491">
        <f t="shared" ref="D71:V71" si="28">AVERAGE(D36:D38)</f>
        <v>14.559617795356749</v>
      </c>
      <c r="E71" s="491">
        <f>AVERAGE(E36:E38)</f>
        <v>23.240157520376908</v>
      </c>
      <c r="F71" s="491">
        <f t="shared" si="28"/>
        <v>2.9276070508169965</v>
      </c>
      <c r="G71" s="491">
        <f t="shared" si="28"/>
        <v>33.924483639863674</v>
      </c>
      <c r="H71" s="491">
        <f t="shared" si="28"/>
        <v>21.639742737171122</v>
      </c>
      <c r="I71" s="491">
        <f t="shared" si="28"/>
        <v>4.9536145311614339</v>
      </c>
      <c r="J71" s="491">
        <f t="shared" si="28"/>
        <v>9.0426625239005745</v>
      </c>
      <c r="K71" s="491">
        <f t="shared" si="28"/>
        <v>17.859896177371429</v>
      </c>
      <c r="L71" s="491">
        <f t="shared" si="28"/>
        <v>12.890150082148063</v>
      </c>
      <c r="M71" s="491">
        <f t="shared" si="28"/>
        <v>4.7291581619953211</v>
      </c>
      <c r="N71" s="491">
        <f t="shared" si="28"/>
        <v>7.6248021611048129</v>
      </c>
      <c r="O71" s="491">
        <f t="shared" si="28"/>
        <v>9.5817437595832136</v>
      </c>
      <c r="P71" s="491">
        <f t="shared" si="28"/>
        <v>15.70467717477149</v>
      </c>
      <c r="Q71" s="491">
        <f t="shared" si="28"/>
        <v>16.664540490946035</v>
      </c>
      <c r="R71" s="600">
        <f t="shared" si="28"/>
        <v>10.902259405393991</v>
      </c>
      <c r="S71" s="491">
        <f t="shared" si="28"/>
        <v>7.9953434002404729</v>
      </c>
      <c r="T71" s="491">
        <f t="shared" si="28"/>
        <v>6.1805339937590631</v>
      </c>
      <c r="U71" s="491">
        <f t="shared" si="28"/>
        <v>11.9510074143395</v>
      </c>
      <c r="V71" s="491">
        <f t="shared" si="28"/>
        <v>247.02717475419342</v>
      </c>
      <c r="W71" s="491"/>
    </row>
    <row r="72" spans="1:26" ht="18">
      <c r="B72" s="251" t="s">
        <v>626</v>
      </c>
      <c r="C72" s="491">
        <f>C40</f>
        <v>12.340646340759521</v>
      </c>
      <c r="D72" s="491">
        <f t="shared" ref="D72:V72" si="29">D40</f>
        <v>14.817351743954028</v>
      </c>
      <c r="E72" s="491">
        <f>E40</f>
        <v>23.901004879962997</v>
      </c>
      <c r="F72" s="491">
        <f t="shared" si="29"/>
        <v>3.6718506723283797</v>
      </c>
      <c r="G72" s="491">
        <f t="shared" si="29"/>
        <v>46.835658550490805</v>
      </c>
      <c r="H72" s="491">
        <f t="shared" si="29"/>
        <v>13.98752383423105</v>
      </c>
      <c r="I72" s="491">
        <f t="shared" si="29"/>
        <v>5.7961802236080286</v>
      </c>
      <c r="J72" s="491">
        <f t="shared" si="29"/>
        <v>9.89897817267539</v>
      </c>
      <c r="K72" s="491">
        <f t="shared" si="29"/>
        <v>20.525501087449733</v>
      </c>
      <c r="L72" s="491">
        <f t="shared" si="29"/>
        <v>13.092119275825347</v>
      </c>
      <c r="M72" s="491">
        <f t="shared" si="29"/>
        <v>4.9426496735544427</v>
      </c>
      <c r="N72" s="491">
        <f t="shared" si="29"/>
        <v>8.4564020208185333</v>
      </c>
      <c r="O72" s="491">
        <f t="shared" si="29"/>
        <v>11.732482084660301</v>
      </c>
      <c r="P72" s="491">
        <f t="shared" si="29"/>
        <v>20.489653906822937</v>
      </c>
      <c r="Q72" s="491">
        <f t="shared" si="29"/>
        <v>14.073727329856309</v>
      </c>
      <c r="R72" s="600">
        <f t="shared" si="29"/>
        <v>10.573800477373471</v>
      </c>
      <c r="S72" s="491">
        <f t="shared" si="29"/>
        <v>8.5860316649642492</v>
      </c>
      <c r="T72" s="491">
        <f t="shared" si="29"/>
        <v>8.6763473787101404</v>
      </c>
      <c r="U72" s="491">
        <f t="shared" si="29"/>
        <v>12.310768088627018</v>
      </c>
      <c r="V72" s="491">
        <f t="shared" si="29"/>
        <v>264.70867740667268</v>
      </c>
      <c r="W72" s="491"/>
    </row>
    <row r="73" spans="1:26" ht="18">
      <c r="B73" s="251" t="s">
        <v>408</v>
      </c>
      <c r="C73" s="492">
        <v>13.443290891283054</v>
      </c>
      <c r="D73" s="492">
        <v>18.157107510575464</v>
      </c>
      <c r="E73" s="492">
        <v>30.232141577702944</v>
      </c>
      <c r="F73" s="492">
        <v>3.7353503184713381</v>
      </c>
      <c r="G73" s="492">
        <v>45.969860235789973</v>
      </c>
      <c r="H73" s="492">
        <v>17.7427524972253</v>
      </c>
      <c r="I73" s="492">
        <v>6.4534141294708833</v>
      </c>
      <c r="J73" s="492">
        <v>11.834706412251249</v>
      </c>
      <c r="K73" s="492">
        <v>22.234695250619282</v>
      </c>
      <c r="L73" s="492">
        <v>19.145899893503728</v>
      </c>
      <c r="M73" s="492">
        <v>5.944063883009429</v>
      </c>
      <c r="N73" s="492">
        <v>9.6794142014807676</v>
      </c>
      <c r="O73" s="492">
        <v>14.618606767601555</v>
      </c>
      <c r="P73" s="492">
        <v>24.709576667267108</v>
      </c>
      <c r="Q73" s="492">
        <v>14.574224202515671</v>
      </c>
      <c r="R73" s="601">
        <v>6.8594999999999997</v>
      </c>
      <c r="S73" s="492">
        <v>11.963186925434117</v>
      </c>
      <c r="T73" s="492">
        <v>10.090969899665552</v>
      </c>
      <c r="U73" s="492">
        <v>15.556888696029505</v>
      </c>
      <c r="V73" s="492">
        <v>302.94564995989691</v>
      </c>
      <c r="W73" s="492"/>
      <c r="Y73" s="251">
        <v>0.30294564995989692</v>
      </c>
      <c r="Z73" s="251">
        <v>26.73379517</v>
      </c>
    </row>
  </sheetData>
  <mergeCells count="2">
    <mergeCell ref="N49:P49"/>
    <mergeCell ref="A36:A3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6967-4804-4E53-8FE8-D8C055DB0D97}">
  <sheetPr>
    <tabColor rgb="FF00B0F0"/>
  </sheetPr>
  <dimension ref="A1:M34"/>
  <sheetViews>
    <sheetView workbookViewId="0">
      <selection activeCell="M25" sqref="M25"/>
    </sheetView>
  </sheetViews>
  <sheetFormatPr defaultColWidth="8.75" defaultRowHeight="15.75"/>
  <cols>
    <col min="3" max="3" width="17.25" bestFit="1" customWidth="1"/>
    <col min="4" max="4" width="15.75" customWidth="1"/>
    <col min="5" max="5" width="12" customWidth="1"/>
    <col min="8" max="8" width="8.25" customWidth="1"/>
    <col min="9" max="9" width="11.75" customWidth="1"/>
    <col min="10" max="10" width="10.25" customWidth="1"/>
    <col min="11" max="11" width="7.25" customWidth="1"/>
    <col min="12" max="12" width="10.25" customWidth="1"/>
    <col min="13" max="13" width="13.25" bestFit="1" customWidth="1"/>
  </cols>
  <sheetData>
    <row r="1" spans="1:13" ht="31.5">
      <c r="A1" s="2" t="s">
        <v>0</v>
      </c>
      <c r="B1" s="2" t="s">
        <v>2</v>
      </c>
      <c r="C1" s="2" t="s">
        <v>3</v>
      </c>
      <c r="D1" s="64" t="s">
        <v>627</v>
      </c>
      <c r="E1" s="64" t="s">
        <v>628</v>
      </c>
      <c r="F1" s="64" t="s">
        <v>629</v>
      </c>
      <c r="G1" s="64" t="s">
        <v>630</v>
      </c>
      <c r="H1" s="64" t="s">
        <v>631</v>
      </c>
      <c r="I1" s="64" t="s">
        <v>632</v>
      </c>
      <c r="J1" s="64" t="s">
        <v>633</v>
      </c>
      <c r="K1" s="64" t="s">
        <v>634</v>
      </c>
      <c r="L1" s="64" t="s">
        <v>635</v>
      </c>
      <c r="M1" t="s">
        <v>636</v>
      </c>
    </row>
    <row r="2" spans="1:13">
      <c r="A2" s="46" t="s">
        <v>198</v>
      </c>
      <c r="B2" s="10" t="s">
        <v>199</v>
      </c>
      <c r="C2" s="10" t="s">
        <v>200</v>
      </c>
      <c r="D2" s="65">
        <v>1800</v>
      </c>
    </row>
    <row r="3" spans="1:13">
      <c r="A3" s="46" t="s">
        <v>213</v>
      </c>
      <c r="B3" s="10" t="s">
        <v>199</v>
      </c>
      <c r="C3" s="10" t="s">
        <v>214</v>
      </c>
      <c r="D3">
        <v>2000</v>
      </c>
    </row>
    <row r="4" spans="1:13">
      <c r="A4" s="46" t="s">
        <v>223</v>
      </c>
      <c r="B4" s="10" t="s">
        <v>199</v>
      </c>
      <c r="C4" s="10" t="s">
        <v>224</v>
      </c>
      <c r="D4">
        <v>1575</v>
      </c>
    </row>
    <row r="5" spans="1:13">
      <c r="A5" s="46" t="s">
        <v>232</v>
      </c>
      <c r="B5" s="18"/>
      <c r="C5" s="26" t="s">
        <v>233</v>
      </c>
      <c r="D5">
        <v>1824</v>
      </c>
    </row>
    <row r="6" spans="1:13">
      <c r="A6" s="46" t="s">
        <v>241</v>
      </c>
      <c r="B6" s="10" t="s">
        <v>199</v>
      </c>
      <c r="C6" s="27" t="s">
        <v>242</v>
      </c>
      <c r="D6">
        <v>910</v>
      </c>
    </row>
    <row r="7" spans="1:13">
      <c r="A7" s="46" t="s">
        <v>248</v>
      </c>
      <c r="B7" s="10" t="s">
        <v>199</v>
      </c>
      <c r="C7" s="27" t="s">
        <v>249</v>
      </c>
      <c r="E7">
        <v>2000</v>
      </c>
    </row>
    <row r="8" spans="1:13">
      <c r="A8" s="46" t="s">
        <v>255</v>
      </c>
      <c r="B8" s="10" t="s">
        <v>199</v>
      </c>
      <c r="C8" s="28" t="s">
        <v>256</v>
      </c>
      <c r="D8" s="65">
        <v>1800</v>
      </c>
    </row>
    <row r="9" spans="1:13">
      <c r="A9" s="46" t="s">
        <v>263</v>
      </c>
      <c r="B9" s="10" t="s">
        <v>199</v>
      </c>
      <c r="C9" s="28" t="s">
        <v>264</v>
      </c>
      <c r="D9">
        <v>1500</v>
      </c>
    </row>
    <row r="10" spans="1:13">
      <c r="A10" s="46" t="s">
        <v>270</v>
      </c>
      <c r="B10" s="10" t="s">
        <v>199</v>
      </c>
      <c r="C10" s="28" t="s">
        <v>65</v>
      </c>
      <c r="D10">
        <v>1100</v>
      </c>
    </row>
    <row r="11" spans="1:13">
      <c r="A11" s="46" t="s">
        <v>318</v>
      </c>
      <c r="B11" s="10" t="s">
        <v>199</v>
      </c>
      <c r="C11" s="10" t="s">
        <v>319</v>
      </c>
      <c r="D11">
        <v>1312</v>
      </c>
    </row>
    <row r="12" spans="1:13">
      <c r="A12" s="46" t="s">
        <v>321</v>
      </c>
      <c r="B12" s="10" t="s">
        <v>199</v>
      </c>
      <c r="C12" s="10" t="s">
        <v>322</v>
      </c>
      <c r="D12">
        <v>1500</v>
      </c>
    </row>
    <row r="13" spans="1:13">
      <c r="A13" s="46" t="s">
        <v>326</v>
      </c>
      <c r="B13" s="10" t="s">
        <v>199</v>
      </c>
      <c r="C13" s="10" t="s">
        <v>327</v>
      </c>
      <c r="D13">
        <v>1200</v>
      </c>
    </row>
    <row r="14" spans="1:13">
      <c r="A14" s="46" t="s">
        <v>278</v>
      </c>
      <c r="B14" s="10" t="s">
        <v>199</v>
      </c>
      <c r="C14" s="30" t="s">
        <v>279</v>
      </c>
      <c r="D14">
        <v>438</v>
      </c>
    </row>
    <row r="15" spans="1:13">
      <c r="A15" s="46" t="s">
        <v>284</v>
      </c>
      <c r="B15" s="10" t="s">
        <v>199</v>
      </c>
      <c r="C15" s="10" t="s">
        <v>285</v>
      </c>
      <c r="D15" s="65">
        <v>1800</v>
      </c>
    </row>
    <row r="16" spans="1:13">
      <c r="A16" s="46" t="s">
        <v>293</v>
      </c>
      <c r="B16" s="10" t="s">
        <v>199</v>
      </c>
      <c r="C16" s="10" t="s">
        <v>294</v>
      </c>
      <c r="D16">
        <v>1350</v>
      </c>
    </row>
    <row r="17" spans="1:12">
      <c r="A17" s="46" t="s">
        <v>297</v>
      </c>
      <c r="B17" s="10"/>
      <c r="C17" s="10" t="s">
        <v>46</v>
      </c>
      <c r="D17">
        <v>2500</v>
      </c>
    </row>
    <row r="18" spans="1:12">
      <c r="A18" s="46" t="s">
        <v>302</v>
      </c>
      <c r="B18" s="10" t="s">
        <v>199</v>
      </c>
      <c r="C18" s="30" t="s">
        <v>303</v>
      </c>
      <c r="D18">
        <v>1400</v>
      </c>
    </row>
    <row r="19" spans="1:12">
      <c r="A19" s="46" t="s">
        <v>314</v>
      </c>
      <c r="B19" s="10" t="s">
        <v>199</v>
      </c>
      <c r="C19" s="10" t="s">
        <v>315</v>
      </c>
      <c r="D19">
        <v>1500</v>
      </c>
    </row>
    <row r="20" spans="1:12">
      <c r="A20" s="46" t="s">
        <v>310</v>
      </c>
      <c r="B20" s="10" t="s">
        <v>199</v>
      </c>
      <c r="C20" s="27" t="s">
        <v>311</v>
      </c>
      <c r="D20">
        <v>2000</v>
      </c>
    </row>
    <row r="21" spans="1:12">
      <c r="A21" s="47" t="s">
        <v>334</v>
      </c>
      <c r="B21" s="14" t="s">
        <v>211</v>
      </c>
      <c r="C21" s="14" t="s">
        <v>335</v>
      </c>
      <c r="D21">
        <v>1000</v>
      </c>
    </row>
    <row r="22" spans="1:12">
      <c r="A22" s="47" t="s">
        <v>343</v>
      </c>
      <c r="B22" s="14" t="s">
        <v>211</v>
      </c>
      <c r="C22" s="14" t="s">
        <v>344</v>
      </c>
      <c r="D22">
        <v>1000</v>
      </c>
    </row>
    <row r="23" spans="1:12">
      <c r="A23" s="47" t="s">
        <v>349</v>
      </c>
      <c r="B23" s="14" t="s">
        <v>211</v>
      </c>
      <c r="C23" s="14" t="s">
        <v>350</v>
      </c>
      <c r="D23">
        <v>1208</v>
      </c>
    </row>
    <row r="24" spans="1:12">
      <c r="A24" s="47" t="s">
        <v>356</v>
      </c>
      <c r="B24" s="14" t="s">
        <v>211</v>
      </c>
      <c r="C24" s="14" t="s">
        <v>357</v>
      </c>
      <c r="D24">
        <v>800</v>
      </c>
    </row>
    <row r="25" spans="1:12">
      <c r="A25" s="47" t="s">
        <v>363</v>
      </c>
      <c r="B25" s="14" t="s">
        <v>211</v>
      </c>
      <c r="C25" s="14" t="s">
        <v>364</v>
      </c>
      <c r="D25">
        <v>1000</v>
      </c>
    </row>
    <row r="26" spans="1:12">
      <c r="A26" s="48" t="s">
        <v>375</v>
      </c>
      <c r="B26" s="13" t="s">
        <v>199</v>
      </c>
      <c r="C26" s="13" t="s">
        <v>376</v>
      </c>
      <c r="D26">
        <v>1400</v>
      </c>
    </row>
    <row r="27" spans="1:12">
      <c r="A27" s="48" t="s">
        <v>383</v>
      </c>
      <c r="B27" s="13" t="s">
        <v>199</v>
      </c>
      <c r="C27" s="13" t="s">
        <v>384</v>
      </c>
      <c r="D27" s="65">
        <v>1800</v>
      </c>
    </row>
    <row r="28" spans="1:12">
      <c r="A28" s="48" t="s">
        <v>407</v>
      </c>
      <c r="B28" s="37" t="s">
        <v>199</v>
      </c>
      <c r="C28" s="37" t="s">
        <v>408</v>
      </c>
      <c r="D28" s="65">
        <v>1800</v>
      </c>
    </row>
    <row r="29" spans="1:12">
      <c r="A29" s="48" t="s">
        <v>393</v>
      </c>
      <c r="B29" s="37" t="s">
        <v>199</v>
      </c>
      <c r="C29" s="37" t="s">
        <v>394</v>
      </c>
      <c r="D29">
        <v>2000</v>
      </c>
    </row>
    <row r="30" spans="1:12">
      <c r="A30" s="48" t="s">
        <v>400</v>
      </c>
      <c r="B30" s="37" t="s">
        <v>199</v>
      </c>
      <c r="C30" s="37" t="s">
        <v>401</v>
      </c>
      <c r="D30">
        <v>1650</v>
      </c>
    </row>
    <row r="31" spans="1:12">
      <c r="A31" s="48" t="s">
        <v>404</v>
      </c>
      <c r="B31" s="37" t="s">
        <v>199</v>
      </c>
      <c r="C31" s="37" t="s">
        <v>405</v>
      </c>
      <c r="D31" s="65">
        <v>1800</v>
      </c>
      <c r="F31">
        <v>2.8</v>
      </c>
      <c r="G31">
        <v>5.6</v>
      </c>
      <c r="H31">
        <v>28</v>
      </c>
      <c r="I31">
        <v>21</v>
      </c>
      <c r="J31">
        <v>2.6</v>
      </c>
      <c r="K31">
        <v>1.4</v>
      </c>
      <c r="L31">
        <v>28</v>
      </c>
    </row>
    <row r="32" spans="1:12">
      <c r="A32" s="43"/>
      <c r="B32" s="11"/>
      <c r="C32" s="11"/>
    </row>
    <row r="33" spans="1:4">
      <c r="A33" s="62" t="s">
        <v>391</v>
      </c>
      <c r="B33" s="61" t="s">
        <v>199</v>
      </c>
      <c r="C33" s="61" t="s">
        <v>249</v>
      </c>
    </row>
    <row r="34" spans="1:4">
      <c r="A34" s="62" t="s">
        <v>414</v>
      </c>
      <c r="B34" s="61" t="s">
        <v>199</v>
      </c>
      <c r="C34" s="61" t="s">
        <v>415</v>
      </c>
      <c r="D34">
        <v>1925</v>
      </c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C020E-2406-4E66-A5CD-8EF4CF1B508C}">
  <sheetPr>
    <tabColor rgb="FFFF0000"/>
  </sheetPr>
  <dimension ref="A1:D33"/>
  <sheetViews>
    <sheetView topLeftCell="A2" workbookViewId="0">
      <selection activeCell="C11" sqref="C11"/>
    </sheetView>
  </sheetViews>
  <sheetFormatPr defaultColWidth="8.75" defaultRowHeight="15.75"/>
  <cols>
    <col min="2" max="2" width="13.75" customWidth="1"/>
    <col min="3" max="3" width="13.25" customWidth="1"/>
    <col min="4" max="4" width="11.25" customWidth="1"/>
  </cols>
  <sheetData>
    <row r="1" spans="1:4" ht="42.75">
      <c r="A1" s="2" t="s">
        <v>637</v>
      </c>
      <c r="B1" s="17" t="s">
        <v>638</v>
      </c>
      <c r="C1" s="244" t="s">
        <v>571</v>
      </c>
      <c r="D1" s="3" t="s">
        <v>572</v>
      </c>
    </row>
    <row r="2" spans="1:4">
      <c r="A2" s="272">
        <v>259</v>
      </c>
      <c r="B2" s="37">
        <v>30</v>
      </c>
      <c r="C2" s="273">
        <v>28.069600000000001</v>
      </c>
      <c r="D2" s="257">
        <v>26.73379517</v>
      </c>
    </row>
    <row r="3" spans="1:4">
      <c r="A3" s="263">
        <v>265</v>
      </c>
      <c r="B3" s="10">
        <v>31</v>
      </c>
      <c r="C3" s="274">
        <v>30.978691999999999</v>
      </c>
      <c r="D3" s="259">
        <v>29.719554899999999</v>
      </c>
    </row>
    <row r="4" spans="1:4">
      <c r="A4" s="263">
        <v>266</v>
      </c>
      <c r="B4" s="10">
        <v>25</v>
      </c>
      <c r="C4" s="274">
        <v>25.724260999999998</v>
      </c>
      <c r="D4" s="164">
        <v>27.218351364135742</v>
      </c>
    </row>
    <row r="5" spans="1:4">
      <c r="A5" s="263">
        <v>267</v>
      </c>
      <c r="B5" s="10">
        <v>26</v>
      </c>
      <c r="C5" s="274">
        <v>27.1798</v>
      </c>
      <c r="D5" s="164">
        <v>30.154155731201172</v>
      </c>
    </row>
    <row r="6" spans="1:4">
      <c r="A6" s="263">
        <v>268</v>
      </c>
      <c r="B6" s="18">
        <v>26</v>
      </c>
      <c r="C6" s="274">
        <v>36.891036</v>
      </c>
      <c r="D6" s="164">
        <v>28.873640060424805</v>
      </c>
    </row>
    <row r="7" spans="1:4">
      <c r="A7" s="263">
        <v>269</v>
      </c>
      <c r="B7" s="10">
        <v>26</v>
      </c>
      <c r="C7" s="274">
        <v>30.101139</v>
      </c>
      <c r="D7" s="258">
        <v>33.477325439453125</v>
      </c>
    </row>
    <row r="8" spans="1:4">
      <c r="A8" s="263">
        <v>270</v>
      </c>
      <c r="B8" s="10">
        <v>24</v>
      </c>
      <c r="C8" s="274">
        <v>28.558043000000001</v>
      </c>
      <c r="D8" s="164">
        <v>29.918912887573242</v>
      </c>
    </row>
    <row r="9" spans="1:4">
      <c r="A9" s="263">
        <v>271</v>
      </c>
      <c r="B9" s="10">
        <v>21</v>
      </c>
      <c r="C9" s="274">
        <v>20.554282000000001</v>
      </c>
      <c r="D9" s="259">
        <v>20.496765140000001</v>
      </c>
    </row>
    <row r="10" spans="1:4">
      <c r="A10" s="263">
        <v>272</v>
      </c>
      <c r="B10" s="10">
        <v>21</v>
      </c>
      <c r="C10" s="274">
        <v>18.766400000000001</v>
      </c>
      <c r="D10" s="164">
        <v>26.870500564575195</v>
      </c>
    </row>
    <row r="11" spans="1:4">
      <c r="A11" s="263">
        <v>273</v>
      </c>
      <c r="B11" s="10">
        <v>21</v>
      </c>
      <c r="C11" s="274">
        <v>17.290400000000002</v>
      </c>
      <c r="D11" s="164">
        <v>28.691097259521484</v>
      </c>
    </row>
    <row r="12" spans="1:4">
      <c r="A12" s="263">
        <v>274</v>
      </c>
      <c r="B12" s="10">
        <v>21</v>
      </c>
      <c r="C12" s="274">
        <v>20.572199999999999</v>
      </c>
      <c r="D12" s="259">
        <v>20.505861280000001</v>
      </c>
    </row>
    <row r="13" spans="1:4">
      <c r="A13" s="263">
        <v>275</v>
      </c>
      <c r="B13" s="10">
        <v>23</v>
      </c>
      <c r="C13" s="274">
        <v>18.5303</v>
      </c>
      <c r="D13" s="164">
        <v>25.310579299926758</v>
      </c>
    </row>
    <row r="14" spans="1:4">
      <c r="A14" s="263">
        <v>276</v>
      </c>
      <c r="B14" s="10">
        <v>25</v>
      </c>
      <c r="C14" s="274">
        <v>29.077618999999999</v>
      </c>
      <c r="D14" s="164">
        <v>30.837608337402344</v>
      </c>
    </row>
    <row r="15" spans="1:4">
      <c r="A15" s="263">
        <v>277</v>
      </c>
      <c r="B15" s="10">
        <v>24</v>
      </c>
      <c r="C15" s="274">
        <v>25.702119</v>
      </c>
      <c r="D15" s="164">
        <v>25.952020645141602</v>
      </c>
    </row>
    <row r="16" spans="1:4">
      <c r="A16" s="263">
        <v>278</v>
      </c>
      <c r="B16" s="10">
        <v>20</v>
      </c>
      <c r="C16" s="274">
        <v>21.522912000000002</v>
      </c>
      <c r="D16" s="164">
        <v>25.346691131591797</v>
      </c>
    </row>
    <row r="17" spans="1:4">
      <c r="A17" s="264">
        <v>279</v>
      </c>
      <c r="B17" s="14">
        <v>14</v>
      </c>
      <c r="C17" s="275">
        <v>18.530809999999999</v>
      </c>
      <c r="D17" s="260">
        <v>13.359435080000001</v>
      </c>
    </row>
    <row r="18" spans="1:4">
      <c r="A18" s="264">
        <v>280</v>
      </c>
      <c r="B18" s="14">
        <v>12.5</v>
      </c>
      <c r="C18" s="275">
        <v>15.412482000000001</v>
      </c>
      <c r="D18" s="165">
        <v>15.766446113586426</v>
      </c>
    </row>
    <row r="19" spans="1:4">
      <c r="A19" s="264">
        <v>281</v>
      </c>
      <c r="B19" s="14">
        <v>13.7</v>
      </c>
      <c r="C19" s="275">
        <v>10.092000000000001</v>
      </c>
      <c r="D19" s="165">
        <v>19.683095932006836</v>
      </c>
    </row>
    <row r="20" spans="1:4">
      <c r="A20" s="264">
        <v>282</v>
      </c>
      <c r="B20" s="14">
        <v>13.7</v>
      </c>
      <c r="C20" s="275">
        <v>17.672215999999999</v>
      </c>
      <c r="D20" s="165">
        <v>17.388208389282227</v>
      </c>
    </row>
    <row r="21" spans="1:4">
      <c r="A21" s="264">
        <v>283</v>
      </c>
      <c r="B21" s="14">
        <v>13</v>
      </c>
      <c r="C21" s="275">
        <v>16.787465000000001</v>
      </c>
      <c r="D21" s="165">
        <v>16.312013626098633</v>
      </c>
    </row>
    <row r="22" spans="1:4">
      <c r="A22" s="264">
        <v>300</v>
      </c>
      <c r="C22" s="356">
        <v>0.12859999999999999</v>
      </c>
    </row>
    <row r="23" spans="1:4">
      <c r="A23" s="272">
        <v>284</v>
      </c>
      <c r="B23" s="13">
        <v>20</v>
      </c>
      <c r="C23" s="273">
        <v>21.0474</v>
      </c>
      <c r="D23" s="261">
        <v>21.86770439</v>
      </c>
    </row>
    <row r="24" spans="1:4">
      <c r="A24" s="272">
        <v>285</v>
      </c>
      <c r="B24" s="13">
        <v>22.3</v>
      </c>
      <c r="C24" s="273">
        <v>23.569600000000001</v>
      </c>
      <c r="D24" s="166">
        <v>30.116676330566406</v>
      </c>
    </row>
    <row r="25" spans="1:4">
      <c r="A25" s="263">
        <v>286</v>
      </c>
      <c r="B25" s="10">
        <v>29</v>
      </c>
      <c r="C25" s="274">
        <v>25.956882</v>
      </c>
      <c r="D25" s="164">
        <v>27.466642379760742</v>
      </c>
    </row>
    <row r="26" spans="1:4">
      <c r="A26" s="272">
        <v>288</v>
      </c>
      <c r="B26" s="37">
        <v>27.5</v>
      </c>
      <c r="C26" s="273">
        <v>28.838293</v>
      </c>
      <c r="D26" s="257">
        <v>25.956832885742188</v>
      </c>
    </row>
    <row r="27" spans="1:4">
      <c r="A27" s="272">
        <v>289</v>
      </c>
      <c r="B27" s="37">
        <v>28</v>
      </c>
      <c r="C27" s="273">
        <v>28.705176000000002</v>
      </c>
      <c r="D27" s="257">
        <v>25.907960891723633</v>
      </c>
    </row>
    <row r="28" spans="1:4">
      <c r="A28" s="272">
        <v>290</v>
      </c>
      <c r="B28" s="37">
        <v>20</v>
      </c>
      <c r="C28" s="273">
        <v>22.372883000000002</v>
      </c>
      <c r="D28" s="257">
        <v>19.914422988891602</v>
      </c>
    </row>
    <row r="29" spans="1:4">
      <c r="A29" s="263">
        <v>291</v>
      </c>
      <c r="B29" s="10">
        <v>21.5</v>
      </c>
      <c r="C29" s="274">
        <v>26.107126000000001</v>
      </c>
      <c r="D29" s="164">
        <v>24.206619262695313</v>
      </c>
    </row>
    <row r="30" spans="1:4">
      <c r="A30" s="263">
        <v>292</v>
      </c>
      <c r="B30" s="10">
        <v>20</v>
      </c>
      <c r="C30" s="274">
        <v>22.249103000000002</v>
      </c>
      <c r="D30" s="164">
        <v>21.805997848510742</v>
      </c>
    </row>
    <row r="31" spans="1:4">
      <c r="A31" s="263">
        <v>293</v>
      </c>
      <c r="B31" s="10">
        <v>21</v>
      </c>
      <c r="C31" s="274">
        <v>23.095002000000001</v>
      </c>
      <c r="D31" s="164">
        <v>22.278650283813477</v>
      </c>
    </row>
    <row r="32" spans="1:4">
      <c r="A32" s="263">
        <v>294</v>
      </c>
      <c r="B32" s="10">
        <v>21</v>
      </c>
      <c r="C32" s="274">
        <v>22.897725999999999</v>
      </c>
      <c r="D32" s="164">
        <v>22.01154899597168</v>
      </c>
    </row>
    <row r="33" spans="1:4">
      <c r="A33" s="263">
        <v>295</v>
      </c>
      <c r="B33" s="10">
        <v>36</v>
      </c>
      <c r="C33" s="274">
        <v>33.181699999999999</v>
      </c>
      <c r="D33" s="164">
        <v>37.328910829999998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212B6-01ED-46BD-A9E0-12E837F16D0A}">
  <sheetPr>
    <tabColor rgb="FFFF0000"/>
  </sheetPr>
  <dimension ref="A1:AN70"/>
  <sheetViews>
    <sheetView topLeftCell="A9" zoomScale="75" workbookViewId="0">
      <selection activeCell="N32" sqref="N32"/>
    </sheetView>
  </sheetViews>
  <sheetFormatPr defaultColWidth="8.75" defaultRowHeight="15.75"/>
  <cols>
    <col min="1" max="1" width="9.75" customWidth="1"/>
    <col min="2" max="2" width="5.75" hidden="1" customWidth="1"/>
    <col min="3" max="3" width="6.25" bestFit="1" customWidth="1"/>
    <col min="4" max="5" width="6.75" bestFit="1" customWidth="1"/>
    <col min="6" max="8" width="6.25" bestFit="1" customWidth="1"/>
    <col min="9" max="9" width="6.25" customWidth="1"/>
    <col min="10" max="10" width="7" customWidth="1"/>
    <col min="11" max="11" width="6.5" customWidth="1"/>
    <col min="12" max="12" width="6" customWidth="1"/>
    <col min="13" max="13" width="8.5" customWidth="1"/>
    <col min="14" max="14" width="8" customWidth="1"/>
    <col min="15" max="15" width="7.75" customWidth="1"/>
    <col min="16" max="16" width="6.75" bestFit="1" customWidth="1"/>
    <col min="17" max="17" width="5.75" customWidth="1"/>
    <col min="18" max="18" width="6" hidden="1" customWidth="1"/>
    <col min="19" max="19" width="7" customWidth="1"/>
    <col min="20" max="20" width="6.75" customWidth="1"/>
    <col min="21" max="21" width="6.25" customWidth="1"/>
    <col min="22" max="22" width="10.25" customWidth="1"/>
    <col min="23" max="23" width="9.25" customWidth="1"/>
    <col min="25" max="25" width="12.5" bestFit="1" customWidth="1"/>
    <col min="26" max="26" width="11" bestFit="1" customWidth="1"/>
    <col min="30" max="30" width="11.25" customWidth="1"/>
    <col min="32" max="32" width="11.25" customWidth="1"/>
  </cols>
  <sheetData>
    <row r="1" spans="1:40" ht="128.65">
      <c r="A1" s="537" t="s">
        <v>550</v>
      </c>
      <c r="B1" s="550"/>
      <c r="C1" s="538" t="s">
        <v>551</v>
      </c>
      <c r="D1" s="539" t="s">
        <v>552</v>
      </c>
      <c r="E1" s="539" t="s">
        <v>553</v>
      </c>
      <c r="F1" s="539" t="s">
        <v>554</v>
      </c>
      <c r="G1" s="539" t="s">
        <v>555</v>
      </c>
      <c r="H1" s="539" t="s">
        <v>556</v>
      </c>
      <c r="I1" s="539" t="s">
        <v>557</v>
      </c>
      <c r="J1" s="539" t="s">
        <v>558</v>
      </c>
      <c r="K1" s="539" t="s">
        <v>559</v>
      </c>
      <c r="L1" s="539" t="s">
        <v>560</v>
      </c>
      <c r="M1" s="540" t="s">
        <v>561</v>
      </c>
      <c r="N1" s="540" t="s">
        <v>562</v>
      </c>
      <c r="O1" s="539" t="s">
        <v>563</v>
      </c>
      <c r="P1" s="539" t="s">
        <v>564</v>
      </c>
      <c r="Q1" s="539" t="s">
        <v>565</v>
      </c>
      <c r="R1" s="590" t="s">
        <v>566</v>
      </c>
      <c r="S1" s="539" t="s">
        <v>567</v>
      </c>
      <c r="T1" s="539" t="s">
        <v>568</v>
      </c>
      <c r="U1" s="541" t="s">
        <v>569</v>
      </c>
      <c r="V1" s="462" t="s">
        <v>571</v>
      </c>
      <c r="W1" s="3" t="s">
        <v>572</v>
      </c>
      <c r="Y1" s="161" t="s">
        <v>550</v>
      </c>
      <c r="Z1" s="269" t="s">
        <v>552</v>
      </c>
      <c r="AA1" s="269" t="s">
        <v>557</v>
      </c>
      <c r="AB1" s="269" t="s">
        <v>558</v>
      </c>
      <c r="AC1" s="269" t="s">
        <v>559</v>
      </c>
      <c r="AD1" s="269" t="s">
        <v>560</v>
      </c>
      <c r="AE1" s="270" t="s">
        <v>561</v>
      </c>
      <c r="AF1" s="269" t="s">
        <v>563</v>
      </c>
      <c r="AG1" s="269" t="s">
        <v>567</v>
      </c>
      <c r="AH1" s="269" t="s">
        <v>569</v>
      </c>
      <c r="AI1" s="265"/>
    </row>
    <row r="2" spans="1:40">
      <c r="A2" s="555"/>
      <c r="B2" s="556"/>
      <c r="C2" s="159"/>
      <c r="D2" s="159">
        <v>5.2</v>
      </c>
      <c r="E2" s="159"/>
      <c r="F2" s="159"/>
      <c r="G2" s="159"/>
      <c r="H2" s="159"/>
      <c r="I2" s="159">
        <v>2.2999999999999998</v>
      </c>
      <c r="J2" s="159">
        <v>4.5999999999999996</v>
      </c>
      <c r="K2" s="159">
        <v>8.1999999999999993</v>
      </c>
      <c r="L2" s="159">
        <v>4.2</v>
      </c>
      <c r="M2" s="160">
        <v>4</v>
      </c>
      <c r="N2" s="160">
        <v>7.6</v>
      </c>
      <c r="O2" s="159">
        <v>5.4</v>
      </c>
      <c r="P2" s="159">
        <v>8.9</v>
      </c>
      <c r="Q2" s="159"/>
      <c r="R2" s="159"/>
      <c r="S2" s="159">
        <v>5.2</v>
      </c>
      <c r="T2" s="159"/>
      <c r="U2" s="159">
        <v>5.9</v>
      </c>
      <c r="V2" s="159"/>
      <c r="W2" s="557"/>
      <c r="Y2" s="556"/>
      <c r="Z2" s="558"/>
      <c r="AA2" s="558"/>
      <c r="AB2" s="558"/>
      <c r="AC2" s="558"/>
      <c r="AD2" s="558"/>
      <c r="AE2" s="559"/>
      <c r="AF2" s="558"/>
      <c r="AG2" s="558"/>
      <c r="AH2" s="558"/>
      <c r="AI2" s="265"/>
    </row>
    <row r="3" spans="1:40" s="391" customFormat="1">
      <c r="A3" s="532">
        <v>259</v>
      </c>
      <c r="B3" s="48" t="s">
        <v>407</v>
      </c>
      <c r="C3" s="336"/>
      <c r="D3" s="336"/>
      <c r="E3" s="336"/>
      <c r="F3" s="336"/>
      <c r="G3" s="336"/>
      <c r="H3" s="336"/>
      <c r="I3" s="336"/>
      <c r="J3" s="336"/>
      <c r="K3" s="337"/>
      <c r="L3" s="337"/>
      <c r="M3" s="337"/>
      <c r="N3" s="343"/>
      <c r="O3" s="337"/>
      <c r="P3" s="343"/>
      <c r="Q3" s="337"/>
      <c r="R3" s="337"/>
      <c r="S3" s="337"/>
      <c r="T3" s="337"/>
      <c r="U3" s="542"/>
      <c r="V3" s="390">
        <v>28.069600000000001</v>
      </c>
      <c r="W3" s="340">
        <v>26.73379517</v>
      </c>
      <c r="X3" s="187"/>
      <c r="Y3" t="s">
        <v>639</v>
      </c>
      <c r="Z3" s="265">
        <v>5.2</v>
      </c>
      <c r="AA3" s="265">
        <v>2.2999999999999998</v>
      </c>
      <c r="AB3" s="265">
        <v>4.5999999999999996</v>
      </c>
      <c r="AC3" s="265">
        <v>8.1999999999999993</v>
      </c>
      <c r="AD3" s="265">
        <v>4.2</v>
      </c>
      <c r="AE3" s="392">
        <v>4</v>
      </c>
      <c r="AF3" s="265">
        <v>5.4</v>
      </c>
      <c r="AG3" s="265">
        <v>5.2</v>
      </c>
      <c r="AH3" s="265">
        <v>5.9</v>
      </c>
      <c r="AI3" s="265"/>
      <c r="AJ3"/>
      <c r="AK3"/>
      <c r="AL3"/>
      <c r="AM3"/>
      <c r="AN3"/>
    </row>
    <row r="4" spans="1:40">
      <c r="A4" s="533">
        <v>265</v>
      </c>
      <c r="B4" s="482" t="s">
        <v>198</v>
      </c>
      <c r="C4" s="544"/>
      <c r="D4" s="544"/>
      <c r="E4" s="544"/>
      <c r="F4" s="544"/>
      <c r="G4" s="544"/>
      <c r="H4" s="544"/>
      <c r="I4" s="544"/>
      <c r="J4" s="544"/>
      <c r="K4" s="545"/>
      <c r="L4" s="545"/>
      <c r="M4" s="545"/>
      <c r="N4" s="343"/>
      <c r="O4" s="545"/>
      <c r="P4" s="343"/>
      <c r="Q4" s="545"/>
      <c r="R4" s="545"/>
      <c r="S4" s="545"/>
      <c r="T4" s="395"/>
      <c r="U4" s="546"/>
      <c r="V4" s="274">
        <v>30.978691999999999</v>
      </c>
      <c r="W4" s="259">
        <v>29.719554899999999</v>
      </c>
      <c r="Y4" s="252">
        <v>279</v>
      </c>
      <c r="Z4" s="253">
        <v>6.1736296296296285</v>
      </c>
      <c r="AA4" s="253">
        <v>3.5190803811802911</v>
      </c>
      <c r="AB4" s="253">
        <v>6.2151051625239004</v>
      </c>
      <c r="AC4" s="253">
        <v>21.637186086902094</v>
      </c>
      <c r="AD4" s="253">
        <v>9.1061014080172367</v>
      </c>
      <c r="AE4" s="253">
        <v>5.3992233783043755</v>
      </c>
      <c r="AF4" s="253">
        <v>7.5551061088557745</v>
      </c>
      <c r="AG4" s="255">
        <v>4.173682647181133</v>
      </c>
      <c r="AH4" s="253">
        <v>7.1794085432639649</v>
      </c>
      <c r="AI4" s="267"/>
    </row>
    <row r="5" spans="1:40">
      <c r="A5" s="533">
        <v>266</v>
      </c>
      <c r="B5" s="482" t="s">
        <v>213</v>
      </c>
      <c r="C5" s="342"/>
      <c r="D5" s="342"/>
      <c r="E5" s="342"/>
      <c r="F5" s="342"/>
      <c r="G5" s="342"/>
      <c r="H5" s="342"/>
      <c r="I5" s="342"/>
      <c r="J5" s="342"/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543"/>
      <c r="V5" s="274">
        <v>25.724260999999998</v>
      </c>
      <c r="W5" s="164">
        <v>27.218351364135742</v>
      </c>
      <c r="Y5" s="252">
        <v>280</v>
      </c>
      <c r="Z5" s="253">
        <v>6.9048888888888884</v>
      </c>
      <c r="AA5" s="253">
        <v>3.2667492842186228</v>
      </c>
      <c r="AB5" s="253">
        <v>5.5431166347992349</v>
      </c>
      <c r="AC5" s="253">
        <v>12.380501009215939</v>
      </c>
      <c r="AD5" s="253">
        <v>8.1581903516196057</v>
      </c>
      <c r="AE5" s="253">
        <v>4.5363369343356394</v>
      </c>
      <c r="AF5" s="253">
        <v>5.4829472251257991</v>
      </c>
      <c r="AG5" s="255">
        <v>4.1208816016158742</v>
      </c>
      <c r="AH5" s="253">
        <v>6.3621029572836791</v>
      </c>
      <c r="AI5" s="267"/>
    </row>
    <row r="6" spans="1:40">
      <c r="A6" s="533">
        <v>267</v>
      </c>
      <c r="B6" s="482" t="s">
        <v>223</v>
      </c>
      <c r="C6" s="342"/>
      <c r="D6" s="342"/>
      <c r="E6" s="342"/>
      <c r="F6" s="342"/>
      <c r="G6" s="342"/>
      <c r="H6" s="342"/>
      <c r="I6" s="342"/>
      <c r="J6" s="342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543"/>
      <c r="V6" s="274">
        <v>27.1798</v>
      </c>
      <c r="W6" s="164">
        <v>30.154155731201172</v>
      </c>
      <c r="Y6" s="252">
        <v>281</v>
      </c>
      <c r="Z6" s="253">
        <v>5.5220000000000002</v>
      </c>
      <c r="AA6" s="253">
        <v>3.4550000000000001</v>
      </c>
      <c r="AB6" s="253">
        <v>4.6459999999999999</v>
      </c>
      <c r="AC6" s="255">
        <v>5.8630000000000004</v>
      </c>
      <c r="AD6" s="253">
        <v>5.9370000000000003</v>
      </c>
      <c r="AE6" s="253">
        <v>5.4320000000000004</v>
      </c>
      <c r="AF6" s="255">
        <v>4.21</v>
      </c>
      <c r="AG6" s="255">
        <v>3.7949999999999999</v>
      </c>
      <c r="AH6" s="255">
        <v>4.7709999999999999</v>
      </c>
      <c r="AI6" s="267"/>
    </row>
    <row r="7" spans="1:40">
      <c r="A7" s="533">
        <v>268</v>
      </c>
      <c r="B7" s="482" t="s">
        <v>232</v>
      </c>
      <c r="C7" s="342"/>
      <c r="D7" s="342"/>
      <c r="E7" s="342"/>
      <c r="F7" s="342"/>
      <c r="G7" s="342"/>
      <c r="H7" s="342"/>
      <c r="I7" s="342"/>
      <c r="J7" s="342"/>
      <c r="K7" s="343"/>
      <c r="L7" s="343"/>
      <c r="M7" s="343"/>
      <c r="N7" s="343"/>
      <c r="O7" s="343"/>
      <c r="P7" s="343"/>
      <c r="Q7" s="343"/>
      <c r="R7" s="343"/>
      <c r="S7" s="343"/>
      <c r="T7" s="343"/>
      <c r="U7" s="543"/>
      <c r="V7" s="274">
        <v>36.891036</v>
      </c>
      <c r="W7" s="164">
        <v>28.873640060424805</v>
      </c>
      <c r="Y7" s="252">
        <v>282</v>
      </c>
      <c r="Z7" s="253">
        <v>9.5028148148148155</v>
      </c>
      <c r="AA7" s="253">
        <v>3.4940558095807868</v>
      </c>
      <c r="AB7" s="253">
        <v>7.1615678776290634</v>
      </c>
      <c r="AC7" s="253">
        <v>13.29608048692713</v>
      </c>
      <c r="AD7" s="253">
        <v>13.913364622605217</v>
      </c>
      <c r="AE7" s="253">
        <v>7.1346144272414991</v>
      </c>
      <c r="AF7" s="253">
        <v>7.1451199649950157</v>
      </c>
      <c r="AG7" s="253">
        <v>5.776914394344443</v>
      </c>
      <c r="AH7" s="253">
        <v>8.8186199342825837</v>
      </c>
      <c r="AI7" s="11"/>
    </row>
    <row r="8" spans="1:40">
      <c r="A8" s="533">
        <v>269</v>
      </c>
      <c r="B8" s="482" t="s">
        <v>241</v>
      </c>
      <c r="C8" s="342"/>
      <c r="D8" s="342"/>
      <c r="E8" s="342"/>
      <c r="F8" s="342"/>
      <c r="G8" s="342"/>
      <c r="H8" s="342"/>
      <c r="I8" s="342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43"/>
      <c r="U8" s="543"/>
      <c r="V8" s="274">
        <v>30.101139</v>
      </c>
      <c r="W8" s="258">
        <v>33.477325439453125</v>
      </c>
      <c r="Y8" s="252">
        <v>283</v>
      </c>
      <c r="Z8" s="253">
        <v>7.4856296296296287</v>
      </c>
      <c r="AA8" s="253">
        <v>3.2657065937353105</v>
      </c>
      <c r="AB8" s="253">
        <v>6.8744741873804962</v>
      </c>
      <c r="AC8" s="253">
        <v>14.724939368809748</v>
      </c>
      <c r="AD8" s="253">
        <v>15.482957605601294</v>
      </c>
      <c r="AE8" s="253">
        <v>4.8386219943246873</v>
      </c>
      <c r="AF8" s="253">
        <v>6.7178452488027816</v>
      </c>
      <c r="AG8" s="253">
        <v>5.4565080496643494</v>
      </c>
      <c r="AH8" s="253">
        <v>8.0825848849945228</v>
      </c>
      <c r="AI8" s="267"/>
    </row>
    <row r="9" spans="1:40">
      <c r="A9" s="533">
        <v>270</v>
      </c>
      <c r="B9" s="482" t="s">
        <v>248</v>
      </c>
      <c r="C9" s="342"/>
      <c r="D9" s="342"/>
      <c r="E9" s="342"/>
      <c r="F9" s="342"/>
      <c r="G9" s="342"/>
      <c r="H9" s="342"/>
      <c r="I9" s="342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43"/>
      <c r="U9" s="543"/>
      <c r="V9" s="274">
        <v>28.558043000000001</v>
      </c>
      <c r="W9" s="164">
        <v>29.918912887573242</v>
      </c>
      <c r="AI9" s="267"/>
    </row>
    <row r="10" spans="1:40">
      <c r="A10" s="533">
        <v>271</v>
      </c>
      <c r="B10" s="481" t="s">
        <v>255</v>
      </c>
      <c r="C10" s="342"/>
      <c r="D10" s="342"/>
      <c r="E10" s="342"/>
      <c r="F10" s="342"/>
      <c r="G10" s="342"/>
      <c r="H10" s="342"/>
      <c r="I10" s="342"/>
      <c r="J10" s="343"/>
      <c r="K10" s="343"/>
      <c r="L10" s="343"/>
      <c r="M10" s="343"/>
      <c r="N10" s="553"/>
      <c r="O10" s="343"/>
      <c r="P10" s="343"/>
      <c r="Q10" s="343"/>
      <c r="R10" s="343"/>
      <c r="S10" s="343"/>
      <c r="T10" s="343"/>
      <c r="U10" s="543"/>
      <c r="V10" s="274">
        <v>20.554282000000001</v>
      </c>
      <c r="W10" s="259">
        <v>20.496765140000001</v>
      </c>
      <c r="Y10" t="s">
        <v>640</v>
      </c>
      <c r="AK10" t="s">
        <v>606</v>
      </c>
    </row>
    <row r="11" spans="1:40">
      <c r="A11" s="533">
        <v>272</v>
      </c>
      <c r="B11" s="481" t="s">
        <v>263</v>
      </c>
      <c r="C11" s="342"/>
      <c r="D11" s="342"/>
      <c r="E11" s="342"/>
      <c r="F11" s="342"/>
      <c r="G11" s="342"/>
      <c r="H11" s="342"/>
      <c r="I11" s="342"/>
      <c r="J11" s="343"/>
      <c r="K11" s="343"/>
      <c r="L11" s="343"/>
      <c r="M11" s="343"/>
      <c r="N11" s="343"/>
      <c r="O11" s="343"/>
      <c r="P11" s="343"/>
      <c r="Q11" s="343"/>
      <c r="R11" s="343"/>
      <c r="S11" s="343"/>
      <c r="T11" s="343"/>
      <c r="U11" s="543"/>
      <c r="V11" s="274">
        <v>18.766400000000001</v>
      </c>
      <c r="W11" s="164">
        <v>26.870500564575195</v>
      </c>
      <c r="Y11" s="252">
        <v>279</v>
      </c>
      <c r="Z11" s="169">
        <f>(Z4/$Z$3)*100</f>
        <v>118.72364672364671</v>
      </c>
      <c r="AA11" s="169">
        <f>(AA4/$AA$3)*100</f>
        <v>153.00349483392571</v>
      </c>
      <c r="AB11" s="169">
        <f>(AB4/$AB$3)*100</f>
        <v>135.11098179399787</v>
      </c>
      <c r="AC11" s="169">
        <f>(AC4/$AC$3)*100</f>
        <v>263.86812301100116</v>
      </c>
      <c r="AD11" s="169">
        <f>(AD4/$AD$3)*100</f>
        <v>216.81193828612467</v>
      </c>
      <c r="AE11" s="169">
        <f>(AE4/$AE$3)*100</f>
        <v>134.98058445760938</v>
      </c>
      <c r="AF11" s="169">
        <f>(AF4/$AF$3)*100</f>
        <v>139.90937238621802</v>
      </c>
      <c r="AG11" s="268">
        <f>(AG4/$AG$3)*100</f>
        <v>80.263127830406404</v>
      </c>
      <c r="AH11" s="169">
        <f>(AH4/$AH$3)*100</f>
        <v>121.68489056379602</v>
      </c>
      <c r="AI11" s="271"/>
    </row>
    <row r="12" spans="1:40">
      <c r="A12" s="533">
        <v>273</v>
      </c>
      <c r="B12" s="481" t="s">
        <v>270</v>
      </c>
      <c r="C12" s="342"/>
      <c r="D12" s="342"/>
      <c r="E12" s="342"/>
      <c r="F12" s="342"/>
      <c r="G12" s="342"/>
      <c r="H12" s="342"/>
      <c r="I12" s="342"/>
      <c r="J12" s="343"/>
      <c r="K12" s="343"/>
      <c r="L12" s="343"/>
      <c r="M12" s="553"/>
      <c r="N12" s="343"/>
      <c r="O12" s="343"/>
      <c r="P12" s="343"/>
      <c r="Q12" s="343"/>
      <c r="R12" s="343"/>
      <c r="S12" s="343"/>
      <c r="T12" s="343"/>
      <c r="U12" s="543"/>
      <c r="V12" s="274">
        <v>17.290400000000002</v>
      </c>
      <c r="W12" s="164">
        <v>28.691097259521484</v>
      </c>
      <c r="Y12" s="252">
        <v>280</v>
      </c>
      <c r="Z12" s="169">
        <f>(Z5/$Z$3)*100</f>
        <v>132.78632478632477</v>
      </c>
      <c r="AA12" s="169">
        <f>(AA5/$AA$3)*100</f>
        <v>142.03257757472275</v>
      </c>
      <c r="AB12" s="169">
        <f>(AB5/$AB$3)*100</f>
        <v>120.50253553911381</v>
      </c>
      <c r="AC12" s="169">
        <f>(AC5/$AC$3)*100</f>
        <v>150.98171962458466</v>
      </c>
      <c r="AD12" s="169">
        <f>(AD5/$AD$3)*100</f>
        <v>194.24262741951441</v>
      </c>
      <c r="AE12" s="169">
        <f>(AE5/$AE$3)*100</f>
        <v>113.40842335839099</v>
      </c>
      <c r="AF12" s="169">
        <f>(AF5/$AF$3)*100</f>
        <v>101.53605972455182</v>
      </c>
      <c r="AG12" s="268">
        <f>(AG5/$AG$3)*100</f>
        <v>79.247723107997587</v>
      </c>
      <c r="AH12" s="169">
        <f>(AH5/$AH$3)*100</f>
        <v>107.83225351328269</v>
      </c>
      <c r="AI12" s="271"/>
      <c r="AL12" t="s">
        <v>641</v>
      </c>
    </row>
    <row r="13" spans="1:40">
      <c r="A13" s="533">
        <v>274</v>
      </c>
      <c r="B13" s="483" t="s">
        <v>278</v>
      </c>
      <c r="C13" s="342"/>
      <c r="D13" s="342"/>
      <c r="E13" s="342"/>
      <c r="F13" s="342"/>
      <c r="G13" s="342"/>
      <c r="H13" s="342"/>
      <c r="I13" s="342"/>
      <c r="J13" s="343"/>
      <c r="K13" s="343"/>
      <c r="L13" s="343"/>
      <c r="M13" s="343"/>
      <c r="N13" s="343"/>
      <c r="O13" s="343"/>
      <c r="P13" s="343"/>
      <c r="Q13" s="343"/>
      <c r="R13" s="343"/>
      <c r="S13" s="343"/>
      <c r="T13" s="343"/>
      <c r="U13" s="543"/>
      <c r="V13" s="274">
        <v>20.572199999999999</v>
      </c>
      <c r="W13" s="259">
        <v>20.505861280000001</v>
      </c>
      <c r="Y13" s="252">
        <v>281</v>
      </c>
      <c r="Z13" s="169">
        <f>(Z6/$Z$3)*100</f>
        <v>106.19230769230769</v>
      </c>
      <c r="AA13" s="169">
        <f>(AA6/$AA$3)*100</f>
        <v>150.21739130434784</v>
      </c>
      <c r="AB13" s="169">
        <f>(AB6/$AB$3)*100</f>
        <v>101</v>
      </c>
      <c r="AC13" s="268">
        <f>(AC6/$AC$3)*100</f>
        <v>71.500000000000014</v>
      </c>
      <c r="AD13" s="169">
        <f>(AD6/$AD$3)*100</f>
        <v>141.35714285714286</v>
      </c>
      <c r="AE13" s="169">
        <f>(AE6/$AE$3)*100</f>
        <v>135.80000000000001</v>
      </c>
      <c r="AF13" s="268">
        <f>(AF6/$AF$3)*100</f>
        <v>77.962962962962962</v>
      </c>
      <c r="AG13" s="268">
        <f>(AG6/$AG$3)*100</f>
        <v>72.980769230769226</v>
      </c>
      <c r="AH13" s="268">
        <f>(AH6/$AH$3)*100</f>
        <v>80.86440677966101</v>
      </c>
    </row>
    <row r="14" spans="1:40">
      <c r="A14" s="533">
        <v>275</v>
      </c>
      <c r="B14" s="483" t="s">
        <v>284</v>
      </c>
      <c r="C14" s="342"/>
      <c r="D14" s="342"/>
      <c r="E14" s="342"/>
      <c r="F14" s="342"/>
      <c r="G14" s="342"/>
      <c r="H14" s="342"/>
      <c r="I14" s="342"/>
      <c r="J14" s="343"/>
      <c r="K14" s="343"/>
      <c r="L14" s="343"/>
      <c r="M14" s="343"/>
      <c r="N14" s="343"/>
      <c r="O14" s="343"/>
      <c r="P14" s="343"/>
      <c r="Q14" s="343"/>
      <c r="R14" s="343"/>
      <c r="S14" s="343"/>
      <c r="T14" s="343"/>
      <c r="U14" s="543"/>
      <c r="V14" s="274">
        <v>18.5303</v>
      </c>
      <c r="W14" s="164">
        <v>25.310579299926758</v>
      </c>
      <c r="Y14" s="252">
        <v>282</v>
      </c>
      <c r="Z14" s="169">
        <f>(Z7/$Z$3)*100</f>
        <v>182.74643874643874</v>
      </c>
      <c r="AA14" s="169">
        <f>(AA7/$AA$3)*100</f>
        <v>151.91546998177336</v>
      </c>
      <c r="AB14" s="169">
        <f>(AB7/$AB$3)*100</f>
        <v>155.68625820932749</v>
      </c>
      <c r="AC14" s="169">
        <f>(AC7/$AC$3)*100</f>
        <v>162.14732301130647</v>
      </c>
      <c r="AD14" s="169">
        <f>(AD7/$AD$3)*100</f>
        <v>331.27058625250515</v>
      </c>
      <c r="AE14" s="169">
        <f>(AE7/$AE$3)*100</f>
        <v>178.36536068103749</v>
      </c>
      <c r="AF14" s="169">
        <f>(AF7/$AF$3)*100</f>
        <v>132.31703638879657</v>
      </c>
      <c r="AG14" s="169">
        <f>(AG7/$AG$3)*100</f>
        <v>111.09450758354697</v>
      </c>
      <c r="AH14" s="169">
        <f>(AH7/$AH$3)*100</f>
        <v>149.46813447936583</v>
      </c>
      <c r="AI14" s="271"/>
    </row>
    <row r="15" spans="1:40">
      <c r="A15" s="533">
        <v>276</v>
      </c>
      <c r="B15" s="483" t="s">
        <v>293</v>
      </c>
      <c r="C15" s="342"/>
      <c r="D15" s="342"/>
      <c r="E15" s="342"/>
      <c r="F15" s="342"/>
      <c r="G15" s="342"/>
      <c r="H15" s="342"/>
      <c r="I15" s="342"/>
      <c r="J15" s="343"/>
      <c r="K15" s="343"/>
      <c r="L15" s="343"/>
      <c r="M15" s="343"/>
      <c r="N15" s="343"/>
      <c r="O15" s="343"/>
      <c r="P15" s="343"/>
      <c r="Q15" s="343"/>
      <c r="R15" s="343"/>
      <c r="S15" s="343"/>
      <c r="T15" s="343"/>
      <c r="U15" s="543"/>
      <c r="V15" s="274">
        <v>29.077618999999999</v>
      </c>
      <c r="W15" s="164">
        <v>30.837608337402344</v>
      </c>
      <c r="Y15" s="252">
        <v>283</v>
      </c>
      <c r="Z15" s="169">
        <f>(Z8/$Z$3)*100</f>
        <v>143.95441595441594</v>
      </c>
      <c r="AA15" s="169">
        <f>(AA8/$AA$3)*100</f>
        <v>141.98724320588306</v>
      </c>
      <c r="AB15" s="169">
        <f>(AB8/$AB$3)*100</f>
        <v>149.44509103001081</v>
      </c>
      <c r="AC15" s="169">
        <f>(AC8/$AC$3)*100</f>
        <v>179.57243132694816</v>
      </c>
      <c r="AD15" s="169">
        <f>(AD8/$AD$3)*100</f>
        <v>368.64184775241171</v>
      </c>
      <c r="AE15" s="169">
        <f>(AE8/$AE$3)*100</f>
        <v>120.96554985811719</v>
      </c>
      <c r="AF15" s="169">
        <f>(AF8/$AF$3)*100</f>
        <v>124.40454164449595</v>
      </c>
      <c r="AG15" s="169">
        <f>(AG8/$AG$3)*100</f>
        <v>104.93284710892978</v>
      </c>
      <c r="AH15" s="169">
        <f>(AH8/$AH$3)*100</f>
        <v>136.99296415244953</v>
      </c>
      <c r="AI15" s="271"/>
    </row>
    <row r="16" spans="1:40">
      <c r="A16" s="533">
        <v>277</v>
      </c>
      <c r="B16" s="483" t="s">
        <v>297</v>
      </c>
      <c r="C16" s="342"/>
      <c r="D16" s="342"/>
      <c r="E16" s="342"/>
      <c r="F16" s="342"/>
      <c r="G16" s="342"/>
      <c r="H16" s="342"/>
      <c r="I16" s="342"/>
      <c r="J16" s="343"/>
      <c r="K16" s="343"/>
      <c r="L16" s="343"/>
      <c r="M16" s="343"/>
      <c r="N16" s="553"/>
      <c r="O16" s="343"/>
      <c r="P16" s="343"/>
      <c r="Q16" s="343"/>
      <c r="R16" s="343"/>
      <c r="S16" s="343"/>
      <c r="T16" s="343"/>
      <c r="U16" s="543"/>
      <c r="V16" s="274">
        <v>25.702119</v>
      </c>
      <c r="W16" s="164">
        <v>25.952020645141602</v>
      </c>
      <c r="AI16" s="267"/>
    </row>
    <row r="17" spans="1:39">
      <c r="A17" s="533">
        <v>278</v>
      </c>
      <c r="B17" s="483" t="s">
        <v>302</v>
      </c>
      <c r="C17" s="342"/>
      <c r="D17" s="342"/>
      <c r="E17" s="342"/>
      <c r="F17" s="342"/>
      <c r="G17" s="342"/>
      <c r="H17" s="342"/>
      <c r="I17" s="342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543"/>
      <c r="V17" s="274">
        <v>21.522912000000002</v>
      </c>
      <c r="W17" s="164">
        <v>25.346691131591797</v>
      </c>
      <c r="Y17" s="11" t="s">
        <v>532</v>
      </c>
      <c r="Z17" s="169">
        <f>AVERAGE(Z11:Z15)</f>
        <v>136.88062678062676</v>
      </c>
      <c r="AA17" s="169">
        <f t="shared" ref="AA17:AH17" si="0">AVERAGE(AA11:AA15)</f>
        <v>147.83123538013055</v>
      </c>
      <c r="AB17" s="169">
        <f t="shared" si="0"/>
        <v>132.34897331449002</v>
      </c>
      <c r="AC17" s="169">
        <f t="shared" si="0"/>
        <v>165.61391939476806</v>
      </c>
      <c r="AD17" s="169">
        <f t="shared" si="0"/>
        <v>250.46482851353977</v>
      </c>
      <c r="AE17" s="169">
        <f t="shared" si="0"/>
        <v>136.70398367103104</v>
      </c>
      <c r="AF17" s="169">
        <f t="shared" si="0"/>
        <v>115.22599462140506</v>
      </c>
      <c r="AG17" s="169">
        <f t="shared" si="0"/>
        <v>89.703794972329987</v>
      </c>
      <c r="AH17" s="169">
        <f t="shared" si="0"/>
        <v>119.36852989771103</v>
      </c>
    </row>
    <row r="18" spans="1:39">
      <c r="A18" s="534">
        <v>279</v>
      </c>
      <c r="B18" s="47" t="s">
        <v>334</v>
      </c>
      <c r="C18" s="342"/>
      <c r="D18" s="342"/>
      <c r="E18" s="342"/>
      <c r="F18" s="342"/>
      <c r="G18" s="342"/>
      <c r="H18" s="342"/>
      <c r="I18" s="342"/>
      <c r="J18" s="343"/>
      <c r="K18" s="343"/>
      <c r="L18" s="343"/>
      <c r="M18" s="343"/>
      <c r="N18" s="343"/>
      <c r="O18" s="343"/>
      <c r="P18" s="343"/>
      <c r="Q18" s="343"/>
      <c r="R18" s="343"/>
      <c r="S18" s="553"/>
      <c r="T18" s="343"/>
      <c r="U18" s="543"/>
      <c r="V18" s="275">
        <v>18.530809999999999</v>
      </c>
      <c r="W18" s="260">
        <v>13.359435080000001</v>
      </c>
    </row>
    <row r="19" spans="1:39">
      <c r="A19" s="534">
        <v>280</v>
      </c>
      <c r="B19" s="47" t="s">
        <v>343</v>
      </c>
      <c r="C19" s="342"/>
      <c r="D19" s="342"/>
      <c r="E19" s="342"/>
      <c r="F19" s="342"/>
      <c r="G19" s="342"/>
      <c r="H19" s="342"/>
      <c r="I19" s="342"/>
      <c r="J19" s="343"/>
      <c r="K19" s="343"/>
      <c r="L19" s="343"/>
      <c r="M19" s="343"/>
      <c r="N19" s="553"/>
      <c r="O19" s="343"/>
      <c r="P19" s="343"/>
      <c r="Q19" s="343"/>
      <c r="R19" s="343"/>
      <c r="S19" s="553"/>
      <c r="T19" s="343"/>
      <c r="U19" s="543"/>
      <c r="V19" s="275">
        <v>15.412482000000001</v>
      </c>
      <c r="W19" s="165">
        <v>15.766446113586426</v>
      </c>
      <c r="Y19" s="266"/>
    </row>
    <row r="20" spans="1:39">
      <c r="A20" s="534">
        <v>281</v>
      </c>
      <c r="B20" s="47" t="s">
        <v>349</v>
      </c>
      <c r="C20" s="342"/>
      <c r="D20" s="342"/>
      <c r="E20" s="342"/>
      <c r="F20" s="342"/>
      <c r="G20" s="342"/>
      <c r="H20" s="342"/>
      <c r="I20" s="342"/>
      <c r="J20" s="553"/>
      <c r="K20" s="553"/>
      <c r="L20" s="343"/>
      <c r="M20" s="553"/>
      <c r="N20" s="553"/>
      <c r="O20" s="553"/>
      <c r="P20" s="553"/>
      <c r="Q20" s="343"/>
      <c r="R20" s="343"/>
      <c r="S20" s="553"/>
      <c r="T20" s="343"/>
      <c r="U20" s="551"/>
      <c r="V20" s="275">
        <v>10.092000000000001</v>
      </c>
      <c r="W20" s="165">
        <v>19.683095932006836</v>
      </c>
      <c r="Y20" s="11"/>
    </row>
    <row r="21" spans="1:39" ht="19.149999999999999" customHeight="1">
      <c r="A21" s="534">
        <v>282</v>
      </c>
      <c r="B21" s="47" t="s">
        <v>356</v>
      </c>
      <c r="C21" s="342"/>
      <c r="D21" s="342"/>
      <c r="E21" s="342"/>
      <c r="F21" s="342"/>
      <c r="G21" s="342"/>
      <c r="H21" s="342"/>
      <c r="I21" s="342"/>
      <c r="J21" s="343"/>
      <c r="K21" s="343"/>
      <c r="L21" s="343"/>
      <c r="M21" s="343"/>
      <c r="N21" s="343"/>
      <c r="O21" s="343"/>
      <c r="P21" s="343"/>
      <c r="Q21" s="343"/>
      <c r="R21" s="343"/>
      <c r="S21" s="343"/>
      <c r="T21" s="343"/>
      <c r="U21" s="543"/>
      <c r="V21" s="275">
        <v>17.672215999999999</v>
      </c>
      <c r="W21" s="165">
        <v>17.388208389282227</v>
      </c>
      <c r="Y21" s="11"/>
    </row>
    <row r="22" spans="1:39">
      <c r="A22" s="534">
        <v>283</v>
      </c>
      <c r="B22" s="47" t="s">
        <v>363</v>
      </c>
      <c r="C22" s="342"/>
      <c r="D22" s="342"/>
      <c r="E22" s="342"/>
      <c r="F22" s="342"/>
      <c r="G22" s="342"/>
      <c r="H22" s="342"/>
      <c r="I22" s="342"/>
      <c r="J22" s="343"/>
      <c r="K22" s="343"/>
      <c r="L22" s="343"/>
      <c r="M22" s="343"/>
      <c r="N22" s="553"/>
      <c r="O22" s="343"/>
      <c r="P22" s="343"/>
      <c r="Q22" s="343"/>
      <c r="R22" s="343"/>
      <c r="S22" s="343"/>
      <c r="T22" s="343"/>
      <c r="U22" s="543"/>
      <c r="V22" s="275">
        <v>16.787465000000001</v>
      </c>
      <c r="W22" s="165">
        <v>16.312013626098633</v>
      </c>
      <c r="Y22" s="11"/>
    </row>
    <row r="23" spans="1:39" s="391" customFormat="1">
      <c r="A23" s="535">
        <v>284</v>
      </c>
      <c r="B23" s="48" t="s">
        <v>375</v>
      </c>
      <c r="C23" s="342"/>
      <c r="D23" s="342"/>
      <c r="E23" s="342"/>
      <c r="F23" s="342"/>
      <c r="G23" s="342"/>
      <c r="H23" s="342"/>
      <c r="I23" s="342"/>
      <c r="J23" s="343"/>
      <c r="K23" s="343"/>
      <c r="L23" s="343"/>
      <c r="M23" s="343"/>
      <c r="N23" s="343"/>
      <c r="O23" s="343"/>
      <c r="P23" s="343"/>
      <c r="Q23" s="343"/>
      <c r="R23" s="343"/>
      <c r="S23" s="343"/>
      <c r="T23" s="343"/>
      <c r="U23" s="543"/>
      <c r="V23" s="390">
        <v>21.0474</v>
      </c>
      <c r="W23" s="344">
        <v>21.86770439</v>
      </c>
      <c r="X23"/>
      <c r="Y23" s="11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 s="391" customFormat="1">
      <c r="A24" s="535">
        <v>285</v>
      </c>
      <c r="B24" s="48" t="s">
        <v>383</v>
      </c>
      <c r="C24" s="342"/>
      <c r="D24" s="342"/>
      <c r="E24" s="342"/>
      <c r="F24" s="342"/>
      <c r="G24" s="342"/>
      <c r="H24" s="342"/>
      <c r="I24" s="342"/>
      <c r="J24" s="343"/>
      <c r="K24" s="343"/>
      <c r="L24" s="343"/>
      <c r="M24" s="343"/>
      <c r="N24" s="343"/>
      <c r="O24" s="343"/>
      <c r="P24" s="343"/>
      <c r="Q24" s="343"/>
      <c r="R24" s="343"/>
      <c r="S24" s="343"/>
      <c r="T24" s="343"/>
      <c r="U24" s="543"/>
      <c r="V24" s="390">
        <v>23.569600000000001</v>
      </c>
      <c r="W24" s="340">
        <v>30.116676330566406</v>
      </c>
      <c r="X24"/>
      <c r="Y24" s="11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s="533">
        <v>286</v>
      </c>
      <c r="B25" s="482" t="s">
        <v>310</v>
      </c>
      <c r="C25" s="342"/>
      <c r="D25" s="342"/>
      <c r="E25" s="342"/>
      <c r="F25" s="342"/>
      <c r="G25" s="342"/>
      <c r="H25" s="342"/>
      <c r="I25" s="342"/>
      <c r="J25" s="343"/>
      <c r="K25" s="343"/>
      <c r="L25" s="343"/>
      <c r="M25" s="343"/>
      <c r="N25" s="343"/>
      <c r="O25" s="343"/>
      <c r="P25" s="343"/>
      <c r="Q25" s="343"/>
      <c r="R25" s="343"/>
      <c r="S25" s="343"/>
      <c r="T25" s="343"/>
      <c r="U25" s="543"/>
      <c r="V25" s="274">
        <v>25.956882</v>
      </c>
      <c r="W25" s="164">
        <v>27.466642379760742</v>
      </c>
      <c r="Y25" s="11"/>
    </row>
    <row r="26" spans="1:39" s="391" customFormat="1">
      <c r="A26" s="535">
        <v>288</v>
      </c>
      <c r="B26" s="48" t="s">
        <v>393</v>
      </c>
      <c r="C26" s="342"/>
      <c r="D26" s="342"/>
      <c r="E26" s="342"/>
      <c r="F26" s="342"/>
      <c r="G26" s="342"/>
      <c r="H26" s="342"/>
      <c r="I26" s="342"/>
      <c r="J26" s="343"/>
      <c r="K26" s="343"/>
      <c r="L26" s="343"/>
      <c r="M26" s="343"/>
      <c r="N26" s="343"/>
      <c r="O26" s="343"/>
      <c r="P26" s="343"/>
      <c r="Q26" s="343"/>
      <c r="R26" s="343"/>
      <c r="S26" s="343"/>
      <c r="T26" s="343"/>
      <c r="U26" s="543"/>
      <c r="V26" s="390">
        <v>28.838293</v>
      </c>
      <c r="W26" s="340">
        <v>25.956832885742188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 s="391" customFormat="1">
      <c r="A27" s="535">
        <v>289</v>
      </c>
      <c r="B27" s="48" t="s">
        <v>400</v>
      </c>
      <c r="C27" s="342"/>
      <c r="D27" s="342"/>
      <c r="E27" s="342"/>
      <c r="F27" s="342"/>
      <c r="G27" s="342"/>
      <c r="H27" s="342"/>
      <c r="I27" s="342"/>
      <c r="J27" s="343"/>
      <c r="K27" s="343"/>
      <c r="L27" s="343"/>
      <c r="M27" s="343"/>
      <c r="N27" s="343"/>
      <c r="O27" s="343"/>
      <c r="P27" s="343"/>
      <c r="Q27" s="343"/>
      <c r="R27" s="343"/>
      <c r="S27" s="343"/>
      <c r="T27" s="343"/>
      <c r="U27" s="543"/>
      <c r="V27" s="390">
        <v>28.705176000000002</v>
      </c>
      <c r="W27" s="340">
        <v>25.907960891723633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 s="391" customFormat="1">
      <c r="A28" s="535">
        <v>290</v>
      </c>
      <c r="B28" s="48" t="s">
        <v>404</v>
      </c>
      <c r="C28" s="342"/>
      <c r="D28" s="342"/>
      <c r="E28" s="342"/>
      <c r="F28" s="342"/>
      <c r="G28" s="342"/>
      <c r="H28" s="342"/>
      <c r="I28" s="342"/>
      <c r="J28" s="343"/>
      <c r="K28" s="343"/>
      <c r="L28" s="343"/>
      <c r="M28" s="343"/>
      <c r="N28" s="553"/>
      <c r="O28" s="343"/>
      <c r="P28" s="343"/>
      <c r="Q28" s="343"/>
      <c r="R28" s="343"/>
      <c r="S28" s="343"/>
      <c r="T28" s="343"/>
      <c r="U28" s="543"/>
      <c r="V28" s="390">
        <v>22.372883000000002</v>
      </c>
      <c r="W28" s="340">
        <v>19.914422988891602</v>
      </c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s="533">
        <v>291</v>
      </c>
      <c r="B29" s="483" t="s">
        <v>314</v>
      </c>
      <c r="C29" s="342"/>
      <c r="D29" s="342"/>
      <c r="E29" s="342"/>
      <c r="F29" s="342"/>
      <c r="G29" s="342"/>
      <c r="H29" s="342"/>
      <c r="I29" s="342"/>
      <c r="J29" s="343"/>
      <c r="K29" s="343"/>
      <c r="L29" s="343"/>
      <c r="M29" s="343"/>
      <c r="N29" s="343"/>
      <c r="O29" s="343"/>
      <c r="P29" s="343"/>
      <c r="Q29" s="343"/>
      <c r="R29" s="343"/>
      <c r="S29" s="343"/>
      <c r="T29" s="343"/>
      <c r="U29" s="543"/>
      <c r="V29" s="274">
        <v>26.107126000000001</v>
      </c>
      <c r="W29" s="164">
        <v>24.206619262695313</v>
      </c>
      <c r="Y29" s="11"/>
    </row>
    <row r="30" spans="1:39">
      <c r="A30" s="533">
        <v>292</v>
      </c>
      <c r="B30" s="481" t="s">
        <v>318</v>
      </c>
      <c r="C30" s="342"/>
      <c r="D30" s="342"/>
      <c r="E30" s="342"/>
      <c r="F30" s="342"/>
      <c r="G30" s="342"/>
      <c r="H30" s="342"/>
      <c r="I30" s="342"/>
      <c r="J30" s="343"/>
      <c r="K30" s="343"/>
      <c r="L30" s="343"/>
      <c r="M30" s="343"/>
      <c r="N30" s="343"/>
      <c r="O30" s="343"/>
      <c r="P30" s="343"/>
      <c r="Q30" s="343"/>
      <c r="R30" s="343"/>
      <c r="S30" s="343"/>
      <c r="T30" s="343"/>
      <c r="U30" s="543"/>
      <c r="V30" s="274">
        <v>22.249103000000002</v>
      </c>
      <c r="W30" s="164">
        <v>21.805997848510742</v>
      </c>
    </row>
    <row r="31" spans="1:39">
      <c r="A31" s="533">
        <v>293</v>
      </c>
      <c r="B31" s="481" t="s">
        <v>321</v>
      </c>
      <c r="C31" s="342"/>
      <c r="D31" s="342"/>
      <c r="E31" s="342"/>
      <c r="F31" s="342"/>
      <c r="G31" s="342"/>
      <c r="H31" s="342"/>
      <c r="I31" s="342"/>
      <c r="J31" s="343"/>
      <c r="K31" s="343"/>
      <c r="L31" s="343"/>
      <c r="M31" s="553"/>
      <c r="N31" s="553"/>
      <c r="O31" s="343"/>
      <c r="P31" s="343"/>
      <c r="Q31" s="343"/>
      <c r="R31" s="343"/>
      <c r="S31" s="343"/>
      <c r="T31" s="343"/>
      <c r="U31" s="543"/>
      <c r="V31" s="274">
        <v>23.095002000000001</v>
      </c>
      <c r="W31" s="164">
        <v>22.278650283813477</v>
      </c>
    </row>
    <row r="32" spans="1:39">
      <c r="A32" s="533">
        <v>294</v>
      </c>
      <c r="B32" s="481" t="s">
        <v>326</v>
      </c>
      <c r="C32" s="342"/>
      <c r="D32" s="342"/>
      <c r="E32" s="342"/>
      <c r="F32" s="342"/>
      <c r="G32" s="342"/>
      <c r="H32" s="342"/>
      <c r="I32" s="342"/>
      <c r="J32" s="343"/>
      <c r="K32" s="343"/>
      <c r="L32" s="343"/>
      <c r="M32" s="553"/>
      <c r="N32" s="553"/>
      <c r="O32" s="343"/>
      <c r="P32" s="343"/>
      <c r="Q32" s="343"/>
      <c r="R32" s="343"/>
      <c r="S32" s="343"/>
      <c r="T32" s="343"/>
      <c r="U32" s="543"/>
      <c r="V32" s="274">
        <v>22.897725999999999</v>
      </c>
      <c r="W32" s="164">
        <v>22.01154899597168</v>
      </c>
    </row>
    <row r="33" spans="1:23" hidden="1">
      <c r="A33" s="533">
        <v>295</v>
      </c>
      <c r="B33" s="378" t="s">
        <v>414</v>
      </c>
      <c r="C33" s="342"/>
      <c r="D33" s="342"/>
      <c r="E33" s="342"/>
      <c r="F33" s="342"/>
      <c r="G33" s="342"/>
      <c r="H33" s="342"/>
      <c r="I33" s="342"/>
      <c r="J33" s="342"/>
      <c r="K33" s="343"/>
      <c r="L33" s="343"/>
      <c r="M33" s="343"/>
      <c r="N33" s="343"/>
      <c r="O33" s="343"/>
      <c r="P33" s="343"/>
      <c r="Q33" s="343"/>
      <c r="R33" s="343"/>
      <c r="S33" s="343"/>
      <c r="T33" s="343"/>
      <c r="U33" s="543"/>
      <c r="V33" s="274">
        <v>33.181699999999999</v>
      </c>
      <c r="W33" s="164">
        <v>37.328910829999998</v>
      </c>
    </row>
    <row r="34" spans="1:23">
      <c r="A34" s="536">
        <v>300</v>
      </c>
      <c r="B34" s="473" t="s">
        <v>370</v>
      </c>
      <c r="C34" s="547"/>
      <c r="D34" s="547"/>
      <c r="E34" s="547"/>
      <c r="F34" s="547"/>
      <c r="G34" s="547"/>
      <c r="H34" s="547"/>
      <c r="I34" s="547"/>
      <c r="J34" s="547"/>
      <c r="K34" s="547"/>
      <c r="L34" s="547"/>
      <c r="M34" s="552"/>
      <c r="N34" s="548"/>
      <c r="O34" s="547"/>
      <c r="P34" s="548"/>
      <c r="Q34" s="547"/>
      <c r="R34" s="547"/>
      <c r="S34" s="552"/>
      <c r="T34" s="547"/>
      <c r="U34" s="549"/>
      <c r="V34" s="54"/>
      <c r="W34" s="54"/>
    </row>
    <row r="37" spans="1:23" ht="102.75">
      <c r="A37" s="537" t="s">
        <v>550</v>
      </c>
      <c r="B37" s="550"/>
      <c r="C37" s="538" t="s">
        <v>642</v>
      </c>
      <c r="D37" s="560" t="s">
        <v>643</v>
      </c>
      <c r="E37" s="539" t="s">
        <v>644</v>
      </c>
      <c r="F37" s="539" t="s">
        <v>645</v>
      </c>
      <c r="G37" s="539" t="s">
        <v>646</v>
      </c>
      <c r="H37" s="539" t="s">
        <v>647</v>
      </c>
      <c r="I37" s="560" t="s">
        <v>648</v>
      </c>
      <c r="J37" s="560" t="s">
        <v>649</v>
      </c>
      <c r="K37" s="560" t="s">
        <v>650</v>
      </c>
      <c r="L37" s="560" t="s">
        <v>651</v>
      </c>
      <c r="M37" s="561" t="s">
        <v>652</v>
      </c>
      <c r="N37" s="540" t="s">
        <v>653</v>
      </c>
      <c r="O37" s="560" t="s">
        <v>654</v>
      </c>
      <c r="P37" s="539" t="s">
        <v>655</v>
      </c>
      <c r="Q37" s="539" t="s">
        <v>656</v>
      </c>
      <c r="R37" s="539" t="s">
        <v>657</v>
      </c>
      <c r="S37" s="560" t="s">
        <v>658</v>
      </c>
      <c r="T37" s="539" t="s">
        <v>659</v>
      </c>
      <c r="U37" s="562" t="s">
        <v>660</v>
      </c>
    </row>
    <row r="38" spans="1:23" ht="28.5">
      <c r="A38" s="17" t="s">
        <v>639</v>
      </c>
      <c r="B38" s="556"/>
      <c r="C38" s="563"/>
      <c r="D38" s="564">
        <v>5.2</v>
      </c>
      <c r="E38" s="564"/>
      <c r="F38" s="564"/>
      <c r="G38" s="564"/>
      <c r="H38" s="564"/>
      <c r="I38" s="564">
        <v>2.2999999999999998</v>
      </c>
      <c r="J38" s="564">
        <v>4.5999999999999996</v>
      </c>
      <c r="K38" s="564">
        <v>8.1999999999999993</v>
      </c>
      <c r="L38" s="564">
        <v>4.2</v>
      </c>
      <c r="M38" s="565">
        <v>4</v>
      </c>
      <c r="N38" s="565">
        <v>7.6</v>
      </c>
      <c r="O38" s="564">
        <v>5.4</v>
      </c>
      <c r="P38" s="564">
        <v>8.9</v>
      </c>
      <c r="Q38" s="564"/>
      <c r="R38" s="564"/>
      <c r="S38" s="564">
        <v>5.2</v>
      </c>
      <c r="T38" s="564"/>
      <c r="U38" s="566">
        <v>5.9</v>
      </c>
    </row>
    <row r="39" spans="1:23">
      <c r="A39" s="532">
        <v>259</v>
      </c>
      <c r="B39" s="48" t="s">
        <v>407</v>
      </c>
      <c r="C39" s="336"/>
      <c r="D39" s="336"/>
      <c r="E39" s="336"/>
      <c r="F39" s="336"/>
      <c r="G39" s="336"/>
      <c r="H39" s="336"/>
      <c r="I39" s="336"/>
      <c r="J39" s="336"/>
      <c r="K39" s="337"/>
      <c r="L39" s="337"/>
      <c r="M39" s="337"/>
      <c r="N39" s="343"/>
      <c r="O39" s="337"/>
      <c r="P39" s="343"/>
      <c r="Q39" s="337"/>
      <c r="R39" s="337"/>
      <c r="S39" s="337"/>
      <c r="T39" s="337"/>
      <c r="U39" s="542"/>
    </row>
    <row r="40" spans="1:23">
      <c r="A40" s="533">
        <v>265</v>
      </c>
      <c r="B40" s="482" t="s">
        <v>198</v>
      </c>
      <c r="C40" s="544"/>
      <c r="D40" s="544"/>
      <c r="E40" s="544"/>
      <c r="F40" s="544"/>
      <c r="G40" s="544"/>
      <c r="H40" s="544"/>
      <c r="I40" s="544"/>
      <c r="J40" s="544"/>
      <c r="K40" s="545"/>
      <c r="L40" s="545"/>
      <c r="M40" s="545"/>
      <c r="N40" s="343"/>
      <c r="O40" s="545"/>
      <c r="P40" s="343"/>
      <c r="Q40" s="545"/>
      <c r="R40" s="545"/>
      <c r="S40" s="545"/>
      <c r="T40" s="395"/>
      <c r="U40" s="546"/>
    </row>
    <row r="41" spans="1:23">
      <c r="A41" s="533">
        <v>266</v>
      </c>
      <c r="B41" s="482" t="s">
        <v>213</v>
      </c>
      <c r="C41" s="342"/>
      <c r="D41" s="342"/>
      <c r="E41" s="342"/>
      <c r="F41" s="342"/>
      <c r="G41" s="342"/>
      <c r="H41" s="342"/>
      <c r="I41" s="342"/>
      <c r="J41" s="342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543"/>
    </row>
    <row r="42" spans="1:23">
      <c r="A42" s="533">
        <v>267</v>
      </c>
      <c r="B42" s="482" t="s">
        <v>223</v>
      </c>
      <c r="C42" s="342"/>
      <c r="D42" s="342"/>
      <c r="E42" s="342"/>
      <c r="F42" s="342"/>
      <c r="G42" s="342"/>
      <c r="H42" s="342"/>
      <c r="I42" s="342"/>
      <c r="J42" s="342"/>
      <c r="K42" s="343"/>
      <c r="L42" s="343"/>
      <c r="M42" s="343"/>
      <c r="N42" s="343"/>
      <c r="O42" s="343"/>
      <c r="P42" s="343"/>
      <c r="Q42" s="343"/>
      <c r="R42" s="343"/>
      <c r="S42" s="343"/>
      <c r="T42" s="343"/>
      <c r="U42" s="543"/>
    </row>
    <row r="43" spans="1:23">
      <c r="A43" s="533">
        <v>268</v>
      </c>
      <c r="B43" s="482" t="s">
        <v>232</v>
      </c>
      <c r="C43" s="342"/>
      <c r="D43" s="342"/>
      <c r="E43" s="342"/>
      <c r="F43" s="342"/>
      <c r="G43" s="342"/>
      <c r="H43" s="342"/>
      <c r="I43" s="342"/>
      <c r="J43" s="342"/>
      <c r="K43" s="343"/>
      <c r="L43" s="343"/>
      <c r="M43" s="343"/>
      <c r="N43" s="343"/>
      <c r="O43" s="343"/>
      <c r="P43" s="343"/>
      <c r="Q43" s="343"/>
      <c r="R43" s="343"/>
      <c r="S43" s="343"/>
      <c r="T43" s="343"/>
      <c r="U43" s="543"/>
    </row>
    <row r="44" spans="1:23">
      <c r="A44" s="533">
        <v>269</v>
      </c>
      <c r="B44" s="482" t="s">
        <v>241</v>
      </c>
      <c r="C44" s="342"/>
      <c r="D44" s="342"/>
      <c r="E44" s="342"/>
      <c r="F44" s="342"/>
      <c r="G44" s="342"/>
      <c r="H44" s="342"/>
      <c r="I44" s="342"/>
      <c r="J44" s="343"/>
      <c r="K44" s="343"/>
      <c r="L44" s="343"/>
      <c r="M44" s="343"/>
      <c r="N44" s="343"/>
      <c r="O44" s="343"/>
      <c r="P44" s="343"/>
      <c r="Q44" s="343"/>
      <c r="R44" s="343"/>
      <c r="S44" s="343"/>
      <c r="T44" s="343"/>
      <c r="U44" s="543"/>
    </row>
    <row r="45" spans="1:23">
      <c r="A45" s="533">
        <v>270</v>
      </c>
      <c r="B45" s="482" t="s">
        <v>248</v>
      </c>
      <c r="C45" s="342"/>
      <c r="D45" s="342"/>
      <c r="E45" s="342"/>
      <c r="F45" s="342"/>
      <c r="G45" s="342"/>
      <c r="H45" s="342"/>
      <c r="I45" s="342"/>
      <c r="J45" s="343"/>
      <c r="K45" s="343"/>
      <c r="L45" s="343"/>
      <c r="M45" s="343"/>
      <c r="N45" s="343"/>
      <c r="O45" s="343"/>
      <c r="P45" s="343"/>
      <c r="Q45" s="343"/>
      <c r="R45" s="343"/>
      <c r="S45" s="343"/>
      <c r="T45" s="343"/>
      <c r="U45" s="543"/>
    </row>
    <row r="46" spans="1:23">
      <c r="A46" s="533">
        <v>271</v>
      </c>
      <c r="B46" s="481" t="s">
        <v>255</v>
      </c>
      <c r="C46" s="342"/>
      <c r="D46" s="342"/>
      <c r="E46" s="342"/>
      <c r="F46" s="342"/>
      <c r="G46" s="342"/>
      <c r="H46" s="342"/>
      <c r="I46" s="342"/>
      <c r="J46" s="343"/>
      <c r="K46" s="343"/>
      <c r="L46" s="343"/>
      <c r="M46" s="343"/>
      <c r="N46" s="553"/>
      <c r="O46" s="343"/>
      <c r="P46" s="343"/>
      <c r="Q46" s="343"/>
      <c r="R46" s="343"/>
      <c r="S46" s="343"/>
      <c r="T46" s="343"/>
      <c r="U46" s="543"/>
    </row>
    <row r="47" spans="1:23">
      <c r="A47" s="533">
        <v>272</v>
      </c>
      <c r="B47" s="481" t="s">
        <v>263</v>
      </c>
      <c r="C47" s="342"/>
      <c r="D47" s="342"/>
      <c r="E47" s="342"/>
      <c r="F47" s="342"/>
      <c r="G47" s="342"/>
      <c r="H47" s="342"/>
      <c r="I47" s="342"/>
      <c r="J47" s="343"/>
      <c r="K47" s="343"/>
      <c r="L47" s="343"/>
      <c r="M47" s="343"/>
      <c r="N47" s="343"/>
      <c r="O47" s="343"/>
      <c r="P47" s="343"/>
      <c r="Q47" s="343"/>
      <c r="R47" s="343"/>
      <c r="S47" s="343"/>
      <c r="T47" s="343"/>
      <c r="U47" s="543"/>
    </row>
    <row r="48" spans="1:23">
      <c r="A48" s="533">
        <v>273</v>
      </c>
      <c r="B48" s="481" t="s">
        <v>270</v>
      </c>
      <c r="C48" s="342"/>
      <c r="D48" s="342"/>
      <c r="E48" s="342"/>
      <c r="F48" s="342"/>
      <c r="G48" s="342"/>
      <c r="H48" s="342"/>
      <c r="I48" s="342"/>
      <c r="J48" s="343"/>
      <c r="K48" s="343"/>
      <c r="L48" s="343"/>
      <c r="M48" s="553"/>
      <c r="N48" s="343"/>
      <c r="O48" s="343"/>
      <c r="P48" s="343"/>
      <c r="Q48" s="343"/>
      <c r="R48" s="343"/>
      <c r="S48" s="343"/>
      <c r="T48" s="343"/>
      <c r="U48" s="543"/>
    </row>
    <row r="49" spans="1:21">
      <c r="A49" s="533">
        <v>274</v>
      </c>
      <c r="B49" s="483" t="s">
        <v>278</v>
      </c>
      <c r="C49" s="342"/>
      <c r="D49" s="342"/>
      <c r="E49" s="342"/>
      <c r="F49" s="342"/>
      <c r="G49" s="342"/>
      <c r="H49" s="342"/>
      <c r="I49" s="342"/>
      <c r="J49" s="343"/>
      <c r="K49" s="343"/>
      <c r="L49" s="343"/>
      <c r="M49" s="343"/>
      <c r="N49" s="343"/>
      <c r="O49" s="343"/>
      <c r="P49" s="343"/>
      <c r="Q49" s="343"/>
      <c r="R49" s="343"/>
      <c r="S49" s="343"/>
      <c r="T49" s="343"/>
      <c r="U49" s="543"/>
    </row>
    <row r="50" spans="1:21">
      <c r="A50" s="533">
        <v>275</v>
      </c>
      <c r="B50" s="483" t="s">
        <v>284</v>
      </c>
      <c r="C50" s="342"/>
      <c r="D50" s="342"/>
      <c r="E50" s="342"/>
      <c r="F50" s="342"/>
      <c r="G50" s="342"/>
      <c r="H50" s="342"/>
      <c r="I50" s="342"/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543"/>
    </row>
    <row r="51" spans="1:21">
      <c r="A51" s="533">
        <v>276</v>
      </c>
      <c r="B51" s="483" t="s">
        <v>293</v>
      </c>
      <c r="C51" s="342"/>
      <c r="D51" s="342"/>
      <c r="E51" s="342"/>
      <c r="F51" s="342"/>
      <c r="G51" s="342"/>
      <c r="H51" s="342"/>
      <c r="I51" s="342"/>
      <c r="J51" s="343"/>
      <c r="K51" s="343"/>
      <c r="L51" s="343"/>
      <c r="M51" s="343"/>
      <c r="N51" s="343"/>
      <c r="O51" s="343"/>
      <c r="P51" s="343"/>
      <c r="Q51" s="343"/>
      <c r="R51" s="343"/>
      <c r="S51" s="343"/>
      <c r="T51" s="343"/>
      <c r="U51" s="543"/>
    </row>
    <row r="52" spans="1:21">
      <c r="A52" s="533">
        <v>277</v>
      </c>
      <c r="B52" s="483" t="s">
        <v>297</v>
      </c>
      <c r="C52" s="342"/>
      <c r="D52" s="342"/>
      <c r="E52" s="342"/>
      <c r="F52" s="342"/>
      <c r="G52" s="342"/>
      <c r="H52" s="342"/>
      <c r="I52" s="342"/>
      <c r="J52" s="343"/>
      <c r="K52" s="343"/>
      <c r="L52" s="343"/>
      <c r="M52" s="343"/>
      <c r="N52" s="553"/>
      <c r="O52" s="343"/>
      <c r="P52" s="343"/>
      <c r="Q52" s="343"/>
      <c r="R52" s="343"/>
      <c r="S52" s="343"/>
      <c r="T52" s="343"/>
      <c r="U52" s="543"/>
    </row>
    <row r="53" spans="1:21">
      <c r="A53" s="533">
        <v>278</v>
      </c>
      <c r="B53" s="483" t="s">
        <v>302</v>
      </c>
      <c r="C53" s="342"/>
      <c r="D53" s="342"/>
      <c r="E53" s="342"/>
      <c r="F53" s="342"/>
      <c r="G53" s="342"/>
      <c r="H53" s="342"/>
      <c r="I53" s="342"/>
      <c r="J53" s="343"/>
      <c r="K53" s="343"/>
      <c r="L53" s="343"/>
      <c r="M53" s="343"/>
      <c r="N53" s="343"/>
      <c r="O53" s="343"/>
      <c r="P53" s="343"/>
      <c r="Q53" s="343"/>
      <c r="R53" s="343"/>
      <c r="S53" s="343"/>
      <c r="T53" s="343"/>
      <c r="U53" s="543"/>
    </row>
    <row r="54" spans="1:21">
      <c r="A54" s="534">
        <v>279</v>
      </c>
      <c r="B54" s="47" t="s">
        <v>334</v>
      </c>
      <c r="C54" s="342"/>
      <c r="D54" s="342"/>
      <c r="E54" s="342"/>
      <c r="F54" s="342"/>
      <c r="G54" s="342"/>
      <c r="H54" s="342"/>
      <c r="I54" s="342"/>
      <c r="J54" s="343"/>
      <c r="K54" s="343"/>
      <c r="L54" s="343"/>
      <c r="M54" s="343"/>
      <c r="N54" s="343"/>
      <c r="O54" s="343"/>
      <c r="P54" s="343"/>
      <c r="Q54" s="343"/>
      <c r="R54" s="343"/>
      <c r="S54" s="553"/>
      <c r="T54" s="343"/>
      <c r="U54" s="543"/>
    </row>
    <row r="55" spans="1:21">
      <c r="A55" s="534">
        <v>280</v>
      </c>
      <c r="B55" s="47" t="s">
        <v>343</v>
      </c>
      <c r="C55" s="342"/>
      <c r="D55" s="342"/>
      <c r="E55" s="342"/>
      <c r="F55" s="342"/>
      <c r="G55" s="342"/>
      <c r="H55" s="342"/>
      <c r="I55" s="342"/>
      <c r="J55" s="343"/>
      <c r="K55" s="343"/>
      <c r="L55" s="343"/>
      <c r="M55" s="343"/>
      <c r="N55" s="553"/>
      <c r="O55" s="343"/>
      <c r="P55" s="343"/>
      <c r="Q55" s="343"/>
      <c r="R55" s="343"/>
      <c r="S55" s="553"/>
      <c r="T55" s="343"/>
      <c r="U55" s="543"/>
    </row>
    <row r="56" spans="1:21">
      <c r="A56" s="534">
        <v>281</v>
      </c>
      <c r="B56" s="47" t="s">
        <v>349</v>
      </c>
      <c r="C56" s="342"/>
      <c r="D56" s="342"/>
      <c r="E56" s="342"/>
      <c r="F56" s="342"/>
      <c r="G56" s="342"/>
      <c r="H56" s="342"/>
      <c r="I56" s="342"/>
      <c r="J56" s="553"/>
      <c r="K56" s="553"/>
      <c r="L56" s="343"/>
      <c r="M56" s="553"/>
      <c r="N56" s="553"/>
      <c r="O56" s="553"/>
      <c r="P56" s="553"/>
      <c r="Q56" s="343"/>
      <c r="R56" s="343"/>
      <c r="S56" s="553"/>
      <c r="T56" s="343"/>
      <c r="U56" s="551"/>
    </row>
    <row r="57" spans="1:21">
      <c r="A57" s="534">
        <v>282</v>
      </c>
      <c r="B57" s="47" t="s">
        <v>356</v>
      </c>
      <c r="C57" s="342"/>
      <c r="D57" s="342"/>
      <c r="E57" s="342"/>
      <c r="F57" s="342"/>
      <c r="G57" s="342"/>
      <c r="H57" s="342"/>
      <c r="I57" s="342"/>
      <c r="J57" s="343"/>
      <c r="K57" s="343"/>
      <c r="L57" s="343"/>
      <c r="M57" s="343"/>
      <c r="N57" s="343"/>
      <c r="O57" s="343"/>
      <c r="P57" s="343"/>
      <c r="Q57" s="343"/>
      <c r="R57" s="343"/>
      <c r="S57" s="343"/>
      <c r="T57" s="343"/>
      <c r="U57" s="543"/>
    </row>
    <row r="58" spans="1:21">
      <c r="A58" s="534">
        <v>283</v>
      </c>
      <c r="B58" s="47" t="s">
        <v>363</v>
      </c>
      <c r="C58" s="342"/>
      <c r="D58" s="342"/>
      <c r="E58" s="342"/>
      <c r="F58" s="342"/>
      <c r="G58" s="342"/>
      <c r="H58" s="342"/>
      <c r="I58" s="342"/>
      <c r="J58" s="343"/>
      <c r="K58" s="343"/>
      <c r="L58" s="343"/>
      <c r="M58" s="343"/>
      <c r="N58" s="553"/>
      <c r="O58" s="343"/>
      <c r="P58" s="343"/>
      <c r="Q58" s="343"/>
      <c r="R58" s="343"/>
      <c r="S58" s="343"/>
      <c r="T58" s="343"/>
      <c r="U58" s="543"/>
    </row>
    <row r="59" spans="1:21">
      <c r="A59" s="535">
        <v>284</v>
      </c>
      <c r="B59" s="48" t="s">
        <v>375</v>
      </c>
      <c r="C59" s="342"/>
      <c r="D59" s="342"/>
      <c r="E59" s="342"/>
      <c r="F59" s="342"/>
      <c r="G59" s="342"/>
      <c r="H59" s="342"/>
      <c r="I59" s="342"/>
      <c r="J59" s="343"/>
      <c r="K59" s="343"/>
      <c r="L59" s="343"/>
      <c r="M59" s="343"/>
      <c r="N59" s="343"/>
      <c r="O59" s="343"/>
      <c r="P59" s="343"/>
      <c r="Q59" s="343"/>
      <c r="R59" s="343"/>
      <c r="S59" s="343"/>
      <c r="T59" s="343"/>
      <c r="U59" s="543"/>
    </row>
    <row r="60" spans="1:21">
      <c r="A60" s="535">
        <v>285</v>
      </c>
      <c r="B60" s="48" t="s">
        <v>383</v>
      </c>
      <c r="C60" s="342"/>
      <c r="D60" s="342"/>
      <c r="E60" s="342"/>
      <c r="F60" s="342"/>
      <c r="G60" s="342"/>
      <c r="H60" s="342"/>
      <c r="I60" s="342"/>
      <c r="J60" s="343"/>
      <c r="K60" s="343"/>
      <c r="L60" s="343"/>
      <c r="M60" s="343"/>
      <c r="N60" s="343"/>
      <c r="O60" s="343"/>
      <c r="P60" s="343"/>
      <c r="Q60" s="343"/>
      <c r="R60" s="343"/>
      <c r="S60" s="343"/>
      <c r="T60" s="343"/>
      <c r="U60" s="543"/>
    </row>
    <row r="61" spans="1:21">
      <c r="A61" s="533">
        <v>286</v>
      </c>
      <c r="B61" s="482" t="s">
        <v>310</v>
      </c>
      <c r="C61" s="342"/>
      <c r="D61" s="342"/>
      <c r="E61" s="342"/>
      <c r="F61" s="342"/>
      <c r="G61" s="342"/>
      <c r="H61" s="342"/>
      <c r="I61" s="342"/>
      <c r="J61" s="343"/>
      <c r="K61" s="343"/>
      <c r="L61" s="343"/>
      <c r="M61" s="343"/>
      <c r="N61" s="343"/>
      <c r="O61" s="343"/>
      <c r="P61" s="343"/>
      <c r="Q61" s="343"/>
      <c r="R61" s="343"/>
      <c r="S61" s="343"/>
      <c r="T61" s="343"/>
      <c r="U61" s="543"/>
    </row>
    <row r="62" spans="1:21">
      <c r="A62" s="535">
        <v>288</v>
      </c>
      <c r="B62" s="48" t="s">
        <v>393</v>
      </c>
      <c r="C62" s="342"/>
      <c r="D62" s="342"/>
      <c r="E62" s="342"/>
      <c r="F62" s="342"/>
      <c r="G62" s="342"/>
      <c r="H62" s="342"/>
      <c r="I62" s="342"/>
      <c r="J62" s="343"/>
      <c r="K62" s="343"/>
      <c r="L62" s="343"/>
      <c r="M62" s="343"/>
      <c r="N62" s="343"/>
      <c r="O62" s="343"/>
      <c r="P62" s="343"/>
      <c r="Q62" s="343"/>
      <c r="R62" s="343"/>
      <c r="S62" s="343"/>
      <c r="T62" s="343"/>
      <c r="U62" s="543"/>
    </row>
    <row r="63" spans="1:21">
      <c r="A63" s="535">
        <v>289</v>
      </c>
      <c r="B63" s="48" t="s">
        <v>400</v>
      </c>
      <c r="C63" s="342"/>
      <c r="D63" s="342"/>
      <c r="E63" s="342"/>
      <c r="F63" s="342"/>
      <c r="G63" s="342"/>
      <c r="H63" s="342"/>
      <c r="I63" s="342"/>
      <c r="J63" s="343"/>
      <c r="K63" s="343"/>
      <c r="L63" s="343"/>
      <c r="M63" s="343"/>
      <c r="N63" s="343"/>
      <c r="O63" s="343"/>
      <c r="P63" s="343"/>
      <c r="Q63" s="343"/>
      <c r="R63" s="343"/>
      <c r="S63" s="343"/>
      <c r="T63" s="343"/>
      <c r="U63" s="543"/>
    </row>
    <row r="64" spans="1:21">
      <c r="A64" s="535">
        <v>290</v>
      </c>
      <c r="B64" s="48" t="s">
        <v>404</v>
      </c>
      <c r="C64" s="342"/>
      <c r="D64" s="342"/>
      <c r="E64" s="342"/>
      <c r="F64" s="342"/>
      <c r="G64" s="342"/>
      <c r="H64" s="342"/>
      <c r="I64" s="342"/>
      <c r="J64" s="343"/>
      <c r="K64" s="343"/>
      <c r="L64" s="343"/>
      <c r="M64" s="343"/>
      <c r="N64" s="553"/>
      <c r="O64" s="343"/>
      <c r="P64" s="343"/>
      <c r="Q64" s="343"/>
      <c r="R64" s="343"/>
      <c r="S64" s="343"/>
      <c r="T64" s="343"/>
      <c r="U64" s="543"/>
    </row>
    <row r="65" spans="1:21">
      <c r="A65" s="533">
        <v>291</v>
      </c>
      <c r="B65" s="483" t="s">
        <v>314</v>
      </c>
      <c r="C65" s="342"/>
      <c r="D65" s="342"/>
      <c r="E65" s="342"/>
      <c r="F65" s="342"/>
      <c r="G65" s="342"/>
      <c r="H65" s="342"/>
      <c r="I65" s="342"/>
      <c r="J65" s="343"/>
      <c r="K65" s="343"/>
      <c r="L65" s="343"/>
      <c r="M65" s="343"/>
      <c r="N65" s="343"/>
      <c r="O65" s="343"/>
      <c r="P65" s="343"/>
      <c r="Q65" s="343"/>
      <c r="R65" s="343"/>
      <c r="S65" s="343"/>
      <c r="T65" s="343"/>
      <c r="U65" s="543"/>
    </row>
    <row r="66" spans="1:21">
      <c r="A66" s="533">
        <v>292</v>
      </c>
      <c r="B66" s="481" t="s">
        <v>318</v>
      </c>
      <c r="C66" s="342"/>
      <c r="D66" s="342"/>
      <c r="E66" s="342"/>
      <c r="F66" s="342"/>
      <c r="G66" s="342"/>
      <c r="H66" s="342"/>
      <c r="I66" s="342"/>
      <c r="J66" s="343"/>
      <c r="K66" s="343"/>
      <c r="L66" s="343"/>
      <c r="M66" s="343"/>
      <c r="N66" s="343"/>
      <c r="O66" s="343"/>
      <c r="P66" s="343"/>
      <c r="Q66" s="343"/>
      <c r="R66" s="343"/>
      <c r="S66" s="343"/>
      <c r="T66" s="343"/>
      <c r="U66" s="543"/>
    </row>
    <row r="67" spans="1:21">
      <c r="A67" s="533">
        <v>293</v>
      </c>
      <c r="B67" s="481" t="s">
        <v>321</v>
      </c>
      <c r="C67" s="342"/>
      <c r="D67" s="342"/>
      <c r="E67" s="342"/>
      <c r="F67" s="342"/>
      <c r="G67" s="342"/>
      <c r="H67" s="342"/>
      <c r="I67" s="342"/>
      <c r="J67" s="343"/>
      <c r="K67" s="343"/>
      <c r="L67" s="343"/>
      <c r="M67" s="553"/>
      <c r="N67" s="553"/>
      <c r="O67" s="343"/>
      <c r="P67" s="343"/>
      <c r="Q67" s="343"/>
      <c r="R67" s="343"/>
      <c r="S67" s="343"/>
      <c r="T67" s="343"/>
      <c r="U67" s="543"/>
    </row>
    <row r="68" spans="1:21">
      <c r="A68" s="533">
        <v>294</v>
      </c>
      <c r="B68" s="481" t="s">
        <v>326</v>
      </c>
      <c r="C68" s="342"/>
      <c r="D68" s="342"/>
      <c r="E68" s="342"/>
      <c r="F68" s="342"/>
      <c r="G68" s="342"/>
      <c r="H68" s="342"/>
      <c r="I68" s="342"/>
      <c r="J68" s="343"/>
      <c r="K68" s="343"/>
      <c r="L68" s="343"/>
      <c r="M68" s="553"/>
      <c r="N68" s="553"/>
      <c r="O68" s="343"/>
      <c r="P68" s="343"/>
      <c r="Q68" s="343"/>
      <c r="R68" s="343"/>
      <c r="S68" s="343"/>
      <c r="T68" s="343"/>
      <c r="U68" s="543"/>
    </row>
    <row r="69" spans="1:21" hidden="1">
      <c r="A69" s="533">
        <v>295</v>
      </c>
      <c r="B69" s="378" t="s">
        <v>414</v>
      </c>
      <c r="C69" s="342"/>
      <c r="D69" s="342"/>
      <c r="E69" s="342"/>
      <c r="F69" s="342"/>
      <c r="G69" s="342"/>
      <c r="H69" s="342"/>
      <c r="I69" s="342"/>
      <c r="J69" s="342"/>
      <c r="K69" s="343"/>
      <c r="L69" s="343"/>
      <c r="M69" s="343"/>
      <c r="N69" s="343"/>
      <c r="O69" s="343"/>
      <c r="P69" s="343"/>
      <c r="Q69" s="343"/>
      <c r="R69" s="343"/>
      <c r="S69" s="343"/>
      <c r="T69" s="343"/>
      <c r="U69" s="543"/>
    </row>
    <row r="70" spans="1:21">
      <c r="A70" s="536">
        <v>300</v>
      </c>
      <c r="B70" s="554" t="s">
        <v>370</v>
      </c>
      <c r="C70" s="547"/>
      <c r="D70" s="547"/>
      <c r="E70" s="547"/>
      <c r="F70" s="547"/>
      <c r="G70" s="547"/>
      <c r="H70" s="547"/>
      <c r="I70" s="547"/>
      <c r="J70" s="547"/>
      <c r="K70" s="547"/>
      <c r="L70" s="547"/>
      <c r="M70" s="552"/>
      <c r="N70" s="548"/>
      <c r="O70" s="547"/>
      <c r="P70" s="548"/>
      <c r="Q70" s="547"/>
      <c r="R70" s="547"/>
      <c r="S70" s="552"/>
      <c r="T70" s="547"/>
      <c r="U70" s="54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1F740-9F0D-F142-845E-4B9700299826}">
  <sheetPr>
    <tabColor rgb="FFFF0000"/>
  </sheetPr>
  <dimension ref="A1:BK150"/>
  <sheetViews>
    <sheetView zoomScale="75" zoomScaleNormal="110" workbookViewId="0">
      <selection activeCell="W97" sqref="W97:W102"/>
    </sheetView>
  </sheetViews>
  <sheetFormatPr defaultColWidth="9.25" defaultRowHeight="15.75"/>
  <cols>
    <col min="1" max="1" width="22.75" style="251" customWidth="1"/>
    <col min="2" max="2" width="19.75" style="43" customWidth="1"/>
    <col min="3" max="3" width="14.25" style="251" customWidth="1"/>
    <col min="4" max="4" width="14.5" style="251" customWidth="1"/>
    <col min="5" max="5" width="12.75" style="251" customWidth="1"/>
    <col min="6" max="6" width="13.75" style="251" customWidth="1"/>
    <col min="7" max="9" width="12.75" style="251" customWidth="1"/>
    <col min="10" max="11" width="11.75" style="251" customWidth="1"/>
    <col min="12" max="13" width="12.75" style="251" customWidth="1"/>
    <col min="14" max="14" width="17.75" style="251" bestFit="1" customWidth="1"/>
    <col min="15" max="15" width="17.5" style="251" customWidth="1"/>
    <col min="16" max="16" width="13.75" style="251" customWidth="1"/>
    <col min="17" max="17" width="16.75" style="251" bestFit="1" customWidth="1"/>
    <col min="18" max="18" width="12.75" style="251" bestFit="1" customWidth="1"/>
    <col min="19" max="19" width="12.75" style="599" hidden="1" customWidth="1"/>
    <col min="20" max="21" width="11.75" style="251" bestFit="1" customWidth="1"/>
    <col min="22" max="22" width="12.75" style="251" bestFit="1" customWidth="1"/>
    <col min="23" max="23" width="13.75" style="251" bestFit="1" customWidth="1"/>
    <col min="24" max="24" width="9.25" style="251"/>
    <col min="25" max="25" width="11.75" style="251" customWidth="1"/>
    <col min="26" max="26" width="11.25" style="251" customWidth="1"/>
    <col min="27" max="16384" width="9.25" style="251"/>
  </cols>
  <sheetData>
    <row r="1" spans="1:63">
      <c r="G1" s="251" t="s">
        <v>661</v>
      </c>
      <c r="N1" s="251" t="s">
        <v>661</v>
      </c>
      <c r="O1" s="251" t="s">
        <v>661</v>
      </c>
    </row>
    <row r="2" spans="1:63" ht="51" customHeight="1">
      <c r="A2" s="2" t="s">
        <v>0</v>
      </c>
      <c r="B2" s="3" t="s">
        <v>126</v>
      </c>
      <c r="C2" s="161" t="s">
        <v>550</v>
      </c>
      <c r="D2" s="162" t="s">
        <v>551</v>
      </c>
      <c r="E2" s="239" t="s">
        <v>552</v>
      </c>
      <c r="F2" s="157" t="s">
        <v>553</v>
      </c>
      <c r="G2" s="157" t="s">
        <v>554</v>
      </c>
      <c r="H2" s="157" t="s">
        <v>555</v>
      </c>
      <c r="I2" s="157" t="s">
        <v>556</v>
      </c>
      <c r="J2" s="239" t="s">
        <v>557</v>
      </c>
      <c r="K2" s="239" t="s">
        <v>558</v>
      </c>
      <c r="L2" s="239" t="s">
        <v>559</v>
      </c>
      <c r="M2" s="239" t="s">
        <v>560</v>
      </c>
      <c r="N2" s="240" t="s">
        <v>561</v>
      </c>
      <c r="O2" s="241" t="s">
        <v>562</v>
      </c>
      <c r="P2" s="239" t="s">
        <v>563</v>
      </c>
      <c r="Q2" s="242" t="s">
        <v>564</v>
      </c>
      <c r="R2" s="157" t="s">
        <v>565</v>
      </c>
      <c r="S2" s="592" t="s">
        <v>566</v>
      </c>
      <c r="T2" s="239" t="s">
        <v>567</v>
      </c>
      <c r="U2" s="157" t="s">
        <v>568</v>
      </c>
      <c r="V2" s="239" t="s">
        <v>569</v>
      </c>
      <c r="W2" s="157" t="s">
        <v>570</v>
      </c>
      <c r="Y2" s="262" t="s">
        <v>571</v>
      </c>
      <c r="Z2" s="3" t="s">
        <v>572</v>
      </c>
      <c r="AC2" s="747" t="s">
        <v>662</v>
      </c>
      <c r="AD2" s="747" t="s">
        <v>663</v>
      </c>
    </row>
    <row r="3" spans="1:63" s="250" customFormat="1" ht="14.25">
      <c r="A3" s="158" t="s">
        <v>472</v>
      </c>
      <c r="B3" s="840"/>
      <c r="C3" s="159"/>
      <c r="D3" s="159"/>
      <c r="E3" s="159">
        <v>5.2</v>
      </c>
      <c r="F3" s="159"/>
      <c r="G3" s="159"/>
      <c r="H3" s="159"/>
      <c r="I3" s="159"/>
      <c r="J3" s="159">
        <v>2.2999999999999998</v>
      </c>
      <c r="K3" s="159">
        <v>4.5999999999999996</v>
      </c>
      <c r="L3" s="159">
        <v>8.1999999999999993</v>
      </c>
      <c r="M3" s="159">
        <v>4.2</v>
      </c>
      <c r="N3" s="160">
        <v>4</v>
      </c>
      <c r="O3" s="160">
        <v>7.6</v>
      </c>
      <c r="P3" s="159">
        <v>5.4</v>
      </c>
      <c r="Q3" s="159">
        <v>8.9</v>
      </c>
      <c r="R3" s="159"/>
      <c r="S3" s="593"/>
      <c r="T3" s="159">
        <v>5.2</v>
      </c>
      <c r="U3" s="159"/>
      <c r="V3" s="159">
        <v>5.9</v>
      </c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</row>
    <row r="4" spans="1:63" s="325" customFormat="1">
      <c r="A4" s="325" t="s">
        <v>574</v>
      </c>
      <c r="B4" s="168">
        <v>3.899382716049383</v>
      </c>
      <c r="C4" s="467">
        <v>265</v>
      </c>
      <c r="D4" s="345">
        <v>19.005046018590594</v>
      </c>
      <c r="E4" s="345">
        <v>20.248888888888889</v>
      </c>
      <c r="F4" s="345">
        <v>30.193847750653788</v>
      </c>
      <c r="G4" s="345">
        <v>3.2969508549563553</v>
      </c>
      <c r="H4" s="345">
        <v>43.779414090645481</v>
      </c>
      <c r="I4" s="345">
        <v>24.005047356794872</v>
      </c>
      <c r="J4" s="345">
        <v>6.6899021409341479</v>
      </c>
      <c r="K4" s="345">
        <v>11.6414913957935</v>
      </c>
      <c r="L4" s="346">
        <v>21.292897936192514</v>
      </c>
      <c r="M4" s="346">
        <v>19.092405939832272</v>
      </c>
      <c r="N4" s="346">
        <v>5.5160153333001443</v>
      </c>
      <c r="O4" s="352">
        <f t="shared" ref="O4:O34" si="0">N4+G4</f>
        <v>8.8129661882564996</v>
      </c>
      <c r="P4" s="346">
        <v>17.502350352655714</v>
      </c>
      <c r="Q4" s="352">
        <f t="shared" ref="Q4:Q34" si="1">P4+U4</f>
        <v>26.098352869231238</v>
      </c>
      <c r="R4" s="346">
        <v>10.885415552783224</v>
      </c>
      <c r="S4" s="595">
        <v>8.5960025165755241</v>
      </c>
      <c r="T4" s="346">
        <v>14.335815991237677</v>
      </c>
      <c r="U4" s="347">
        <v>8.5960025165755241</v>
      </c>
      <c r="V4" s="347">
        <v>14.335815991237677</v>
      </c>
      <c r="W4" s="348">
        <f t="shared" ref="W4:W34" si="2">SUM(D4:V4)</f>
        <v>313.92462968513564</v>
      </c>
      <c r="Y4" s="349">
        <f t="shared" ref="Y4:Y34" si="3">W4/1000</f>
        <v>0.31392462968513563</v>
      </c>
      <c r="Z4" s="259">
        <v>29.719554899999999</v>
      </c>
      <c r="AB4" s="350"/>
      <c r="AC4" s="325" t="s">
        <v>211</v>
      </c>
      <c r="AD4" s="325" t="s">
        <v>211</v>
      </c>
    </row>
    <row r="5" spans="1:63" s="325" customFormat="1">
      <c r="A5" s="325" t="s">
        <v>575</v>
      </c>
      <c r="B5" s="168">
        <v>3.6053086419753084</v>
      </c>
      <c r="C5" s="467">
        <v>266</v>
      </c>
      <c r="D5" s="351">
        <v>14.775786437107927</v>
      </c>
      <c r="E5" s="351">
        <v>16.065185185185182</v>
      </c>
      <c r="F5" s="351">
        <v>26.38649476458437</v>
      </c>
      <c r="G5" s="351">
        <v>3.6862848260193712</v>
      </c>
      <c r="H5" s="351">
        <v>34.610055708837848</v>
      </c>
      <c r="I5" s="351">
        <v>20.206856900777684</v>
      </c>
      <c r="J5" s="351">
        <v>4.8234861758044527</v>
      </c>
      <c r="K5" s="351">
        <v>10.485229445506693</v>
      </c>
      <c r="L5" s="352">
        <v>20.536220681885741</v>
      </c>
      <c r="M5" s="352">
        <v>12.900207740247749</v>
      </c>
      <c r="N5" s="352">
        <v>4.6922885448299896</v>
      </c>
      <c r="O5" s="352">
        <f t="shared" si="0"/>
        <v>8.3785733708493613</v>
      </c>
      <c r="P5" s="352">
        <v>10.170620123003623</v>
      </c>
      <c r="Q5" s="352">
        <f t="shared" si="1"/>
        <v>16.122747113276091</v>
      </c>
      <c r="R5" s="352">
        <v>15.674545043285148</v>
      </c>
      <c r="S5" s="596">
        <v>10.847006673486288</v>
      </c>
      <c r="T5" s="352">
        <v>8.3917661735875964</v>
      </c>
      <c r="U5" s="352">
        <v>5.9521269902724692</v>
      </c>
      <c r="V5" s="352">
        <v>12.537130339539976</v>
      </c>
      <c r="W5" s="348">
        <f>SUM(D5:V5)</f>
        <v>257.24261223808753</v>
      </c>
      <c r="Y5" s="349">
        <f t="shared" si="3"/>
        <v>0.25724261223808753</v>
      </c>
      <c r="Z5" s="164">
        <v>27.218351364135742</v>
      </c>
      <c r="AB5" s="350"/>
      <c r="AC5" s="325" t="s">
        <v>211</v>
      </c>
      <c r="AD5" s="325" t="s">
        <v>211</v>
      </c>
    </row>
    <row r="6" spans="1:63" s="325" customFormat="1">
      <c r="A6" s="325" t="s">
        <v>576</v>
      </c>
      <c r="B6" s="168">
        <v>3.94320987654321</v>
      </c>
      <c r="C6" s="467">
        <v>267</v>
      </c>
      <c r="D6" s="351">
        <v>15.829186318054857</v>
      </c>
      <c r="E6" s="351">
        <v>15.682370370370368</v>
      </c>
      <c r="F6" s="351">
        <v>27.098389181158606</v>
      </c>
      <c r="G6" s="351">
        <v>2.0386942484754274</v>
      </c>
      <c r="H6" s="351">
        <v>37.106444299949032</v>
      </c>
      <c r="I6" s="351">
        <v>22.281284231549009</v>
      </c>
      <c r="J6" s="351">
        <v>5.1237810349985038</v>
      </c>
      <c r="K6" s="351">
        <v>10.728154875717017</v>
      </c>
      <c r="L6" s="352">
        <v>20.307956376836536</v>
      </c>
      <c r="M6" s="352">
        <v>15.871970454720323</v>
      </c>
      <c r="N6" s="352">
        <v>5.579220391297854</v>
      </c>
      <c r="O6" s="352">
        <f t="shared" si="0"/>
        <v>7.6179146397732813</v>
      </c>
      <c r="P6" s="352">
        <v>10.77325035855799</v>
      </c>
      <c r="Q6" s="352">
        <f t="shared" si="1"/>
        <v>18.471493595261279</v>
      </c>
      <c r="R6" s="352">
        <v>15.084966379469886</v>
      </c>
      <c r="S6" s="596">
        <v>11.399970773052752</v>
      </c>
      <c r="T6" s="352">
        <v>9.2365829026317368</v>
      </c>
      <c r="U6" s="352">
        <v>7.6982432367032878</v>
      </c>
      <c r="V6" s="352">
        <v>13.868127053669221</v>
      </c>
      <c r="W6" s="348">
        <f t="shared" si="2"/>
        <v>271.79800072224697</v>
      </c>
      <c r="Y6" s="349">
        <f t="shared" si="3"/>
        <v>0.27179800072224697</v>
      </c>
      <c r="Z6" s="164">
        <v>30.154155731201172</v>
      </c>
      <c r="AB6" s="350"/>
      <c r="AC6" s="325" t="s">
        <v>211</v>
      </c>
      <c r="AD6" s="325" t="s">
        <v>211</v>
      </c>
    </row>
    <row r="7" spans="1:63" s="325" customFormat="1">
      <c r="A7" s="325" t="s">
        <v>577</v>
      </c>
      <c r="B7" s="168">
        <v>3.8748765432098766</v>
      </c>
      <c r="C7" s="467">
        <v>268</v>
      </c>
      <c r="D7" s="351">
        <v>20.63682403040432</v>
      </c>
      <c r="E7" s="351">
        <v>20.586666666666666</v>
      </c>
      <c r="F7" s="351">
        <v>32.219633062997971</v>
      </c>
      <c r="G7" s="351">
        <v>4.3587707760373071</v>
      </c>
      <c r="H7" s="351">
        <v>54.245364919248544</v>
      </c>
      <c r="I7" s="351">
        <v>32.148249462886199</v>
      </c>
      <c r="J7" s="351">
        <v>6.7357805221999056</v>
      </c>
      <c r="K7" s="351">
        <v>13.141634799235181</v>
      </c>
      <c r="L7" s="352">
        <v>31.863679178858092</v>
      </c>
      <c r="M7" s="352">
        <v>16.710317765638226</v>
      </c>
      <c r="N7" s="352">
        <v>6.8927863792502606</v>
      </c>
      <c r="O7" s="352">
        <f t="shared" si="0"/>
        <v>11.251557155287568</v>
      </c>
      <c r="P7" s="352">
        <v>14.736038116537424</v>
      </c>
      <c r="Q7" s="352">
        <f t="shared" si="1"/>
        <v>24.073075332817734</v>
      </c>
      <c r="R7" s="352">
        <v>25.926972507248468</v>
      </c>
      <c r="S7" s="596">
        <v>14.70727263870622</v>
      </c>
      <c r="T7" s="352">
        <v>10.84581476860928</v>
      </c>
      <c r="U7" s="352">
        <v>9.3370372162803097</v>
      </c>
      <c r="V7" s="352">
        <v>18.492880613362541</v>
      </c>
      <c r="W7" s="348">
        <f t="shared" si="2"/>
        <v>368.91035591227222</v>
      </c>
      <c r="Y7" s="349">
        <f t="shared" si="3"/>
        <v>0.36891035591227223</v>
      </c>
      <c r="Z7" s="164">
        <v>28.873640060424805</v>
      </c>
      <c r="AB7" s="350"/>
      <c r="AC7" s="325" t="s">
        <v>211</v>
      </c>
      <c r="AD7" s="325" t="s">
        <v>211</v>
      </c>
    </row>
    <row r="8" spans="1:63" s="325" customFormat="1">
      <c r="A8" s="325" t="s">
        <v>578</v>
      </c>
      <c r="B8" s="168">
        <v>3.8876543209876546</v>
      </c>
      <c r="C8" s="467">
        <v>269</v>
      </c>
      <c r="D8" s="351">
        <v>17.593552818352489</v>
      </c>
      <c r="E8" s="351">
        <v>17.112888888888889</v>
      </c>
      <c r="F8" s="351">
        <v>27.569729223693177</v>
      </c>
      <c r="G8" s="351">
        <v>2.7978954920483079</v>
      </c>
      <c r="H8" s="351">
        <v>48.804456707027754</v>
      </c>
      <c r="I8" s="351">
        <v>22.809295851363213</v>
      </c>
      <c r="J8" s="351">
        <v>5.626357847955215</v>
      </c>
      <c r="K8" s="352">
        <v>10.109799235181644</v>
      </c>
      <c r="L8" s="352">
        <v>22.131548559715849</v>
      </c>
      <c r="M8" s="352">
        <v>15.751327229360623</v>
      </c>
      <c r="N8" s="352">
        <v>5.5716632647981275</v>
      </c>
      <c r="O8" s="352">
        <f t="shared" si="0"/>
        <v>8.3695587568464358</v>
      </c>
      <c r="P8" s="352">
        <v>12.362564115030263</v>
      </c>
      <c r="Q8" s="352">
        <f t="shared" si="1"/>
        <v>20.835912612344305</v>
      </c>
      <c r="R8" s="352">
        <v>20.088026156155543</v>
      </c>
      <c r="S8" s="596">
        <v>11.819280042866188</v>
      </c>
      <c r="T8" s="352">
        <v>9.2209825937147283</v>
      </c>
      <c r="U8" s="352">
        <v>8.473348497314042</v>
      </c>
      <c r="V8" s="352">
        <v>13.963198247535596</v>
      </c>
      <c r="W8" s="347">
        <f t="shared" si="2"/>
        <v>301.01138614019237</v>
      </c>
      <c r="Y8" s="349">
        <f t="shared" si="3"/>
        <v>0.30101138614019235</v>
      </c>
      <c r="Z8" s="258">
        <v>33.477325439453125</v>
      </c>
      <c r="AB8" s="350"/>
      <c r="AC8" s="325" t="s">
        <v>211</v>
      </c>
      <c r="AD8" s="325" t="s">
        <v>211</v>
      </c>
    </row>
    <row r="9" spans="1:63" s="325" customFormat="1">
      <c r="A9" s="325" t="s">
        <v>579</v>
      </c>
      <c r="B9" s="168">
        <v>3.7285185185185186</v>
      </c>
      <c r="C9" s="467">
        <v>270</v>
      </c>
      <c r="D9" s="351">
        <v>16.557901002793166</v>
      </c>
      <c r="E9" s="351">
        <v>16.656592592592592</v>
      </c>
      <c r="F9" s="351">
        <v>25.148311336786296</v>
      </c>
      <c r="G9" s="351">
        <v>3.6703575272031563</v>
      </c>
      <c r="H9" s="351">
        <v>37.22714092402861</v>
      </c>
      <c r="I9" s="351">
        <v>25.071818924561992</v>
      </c>
      <c r="J9" s="351">
        <v>5.4386735609589332</v>
      </c>
      <c r="K9" s="352">
        <v>11.248709369024857</v>
      </c>
      <c r="L9" s="352">
        <v>25.776210667960129</v>
      </c>
      <c r="M9" s="352">
        <v>14.174347926444565</v>
      </c>
      <c r="N9" s="352">
        <v>5.5215114252999458</v>
      </c>
      <c r="O9" s="352">
        <f t="shared" si="0"/>
        <v>9.1918689525031017</v>
      </c>
      <c r="P9" s="352">
        <v>10.484284221017575</v>
      </c>
      <c r="Q9" s="352">
        <f t="shared" si="1"/>
        <v>18.250668579532796</v>
      </c>
      <c r="R9" s="352">
        <v>18.699339927206925</v>
      </c>
      <c r="S9" s="596">
        <v>12.474450776949679</v>
      </c>
      <c r="T9" s="352">
        <v>9.6325907443711749</v>
      </c>
      <c r="U9" s="352">
        <v>7.7663843585152224</v>
      </c>
      <c r="V9" s="352">
        <v>12.589266155531215</v>
      </c>
      <c r="W9" s="347">
        <f t="shared" si="2"/>
        <v>285.58042897328193</v>
      </c>
      <c r="Y9" s="349">
        <f t="shared" si="3"/>
        <v>0.28558042897328195</v>
      </c>
      <c r="Z9" s="164">
        <v>29.918912887573242</v>
      </c>
      <c r="AB9" s="350"/>
      <c r="AC9" s="325" t="s">
        <v>211</v>
      </c>
      <c r="AD9" s="325" t="s">
        <v>211</v>
      </c>
    </row>
    <row r="10" spans="1:63" s="325" customFormat="1">
      <c r="A10" s="325" t="s">
        <v>580</v>
      </c>
      <c r="B10" s="168">
        <v>3.8925925925925928</v>
      </c>
      <c r="C10" s="468">
        <v>271</v>
      </c>
      <c r="D10" s="351">
        <v>13.169064517606119</v>
      </c>
      <c r="E10" s="351">
        <v>11.096888888888888</v>
      </c>
      <c r="F10" s="351">
        <v>22.925930825353856</v>
      </c>
      <c r="G10" s="351">
        <v>2.0847064450556019</v>
      </c>
      <c r="H10" s="351">
        <v>26.238968068467393</v>
      </c>
      <c r="I10" s="351">
        <v>16.693497140436353</v>
      </c>
      <c r="J10" s="351">
        <v>4.7327721037562496</v>
      </c>
      <c r="K10" s="352">
        <v>7.5038718929254298</v>
      </c>
      <c r="L10" s="352">
        <v>16.457730281172253</v>
      </c>
      <c r="M10" s="352">
        <v>12.793106101408018</v>
      </c>
      <c r="N10" s="352">
        <v>4.2209986558470654</v>
      </c>
      <c r="O10" s="393">
        <f t="shared" si="0"/>
        <v>6.3057051009026672</v>
      </c>
      <c r="P10" s="352">
        <v>8.7319639254199384</v>
      </c>
      <c r="Q10" s="352">
        <f t="shared" si="1"/>
        <v>12.140723544061956</v>
      </c>
      <c r="R10" s="352">
        <v>10.887701260512843</v>
      </c>
      <c r="S10" s="596">
        <v>8.3101855911150064</v>
      </c>
      <c r="T10" s="352">
        <v>7.1677419354838712</v>
      </c>
      <c r="U10" s="352">
        <v>3.4087596186420175</v>
      </c>
      <c r="V10" s="352">
        <v>10.672508214676888</v>
      </c>
      <c r="W10" s="347">
        <f>SUM(D10:V10)</f>
        <v>205.54282411173241</v>
      </c>
      <c r="Y10" s="349">
        <f t="shared" si="3"/>
        <v>0.20554282411173241</v>
      </c>
      <c r="Z10" s="259">
        <v>20.496765140000001</v>
      </c>
      <c r="AB10" s="350"/>
      <c r="AC10" s="468" t="s">
        <v>199</v>
      </c>
      <c r="AD10" s="325" t="s">
        <v>211</v>
      </c>
    </row>
    <row r="11" spans="1:63" s="325" customFormat="1">
      <c r="A11" s="325" t="s">
        <v>581</v>
      </c>
      <c r="B11" s="168">
        <v>3.7620370370370373</v>
      </c>
      <c r="C11" s="468">
        <v>272</v>
      </c>
      <c r="D11" s="351">
        <v>11.50048971596474</v>
      </c>
      <c r="E11" s="351">
        <v>12.350514805650889</v>
      </c>
      <c r="F11" s="351">
        <v>12.27663538009601</v>
      </c>
      <c r="G11" s="351">
        <v>2.9314578910120312</v>
      </c>
      <c r="H11" s="351">
        <v>31.932921131632831</v>
      </c>
      <c r="I11" s="351">
        <v>17.890588235294114</v>
      </c>
      <c r="J11" s="351">
        <v>4.6574933490984334</v>
      </c>
      <c r="K11" s="352">
        <v>6.8168741298828923</v>
      </c>
      <c r="L11" s="352">
        <v>12.620324780574329</v>
      </c>
      <c r="M11" s="352">
        <v>10.191693290734824</v>
      </c>
      <c r="N11" s="352">
        <v>5.2569847989224554</v>
      </c>
      <c r="O11" s="352">
        <f t="shared" si="0"/>
        <v>8.1884426899344867</v>
      </c>
      <c r="P11" s="352">
        <v>7.9843881856540087</v>
      </c>
      <c r="Q11" s="352">
        <f t="shared" si="1"/>
        <v>12.916829657225914</v>
      </c>
      <c r="R11" s="352">
        <v>16.796849493316508</v>
      </c>
      <c r="S11" s="596">
        <v>14.833428571428573</v>
      </c>
      <c r="T11" s="352">
        <v>7.1432482124616961</v>
      </c>
      <c r="U11" s="352">
        <v>4.9324414715719058</v>
      </c>
      <c r="V11" s="352">
        <v>9.5257105662833581</v>
      </c>
      <c r="W11" s="347">
        <f>SUM(D11:V11)</f>
        <v>210.74731635673999</v>
      </c>
      <c r="Y11" s="349">
        <f>W11/1000</f>
        <v>0.21074731635673999</v>
      </c>
      <c r="Z11" s="164">
        <v>26.870500564575195</v>
      </c>
      <c r="AB11" s="350"/>
      <c r="AC11" s="325" t="s">
        <v>211</v>
      </c>
      <c r="AD11" s="325" t="s">
        <v>211</v>
      </c>
    </row>
    <row r="12" spans="1:63" s="325" customFormat="1">
      <c r="A12" s="325" t="s">
        <v>582</v>
      </c>
      <c r="B12" s="168">
        <v>3.5370370370370376</v>
      </c>
      <c r="C12" s="468">
        <v>273</v>
      </c>
      <c r="D12" s="351">
        <v>10.821625857002937</v>
      </c>
      <c r="E12" s="351">
        <v>11.819043818341447</v>
      </c>
      <c r="F12" s="351">
        <v>12.09823027871319</v>
      </c>
      <c r="G12" s="351">
        <v>3.3006723283793349</v>
      </c>
      <c r="H12" s="351">
        <v>31.207956420604781</v>
      </c>
      <c r="I12" s="351">
        <v>16.935815760266369</v>
      </c>
      <c r="J12" s="351">
        <v>4.8134643807271651</v>
      </c>
      <c r="K12" s="352">
        <v>6.6352673818688066</v>
      </c>
      <c r="L12" s="352">
        <v>11.629432092724548</v>
      </c>
      <c r="M12" s="352">
        <v>10.121405750798722</v>
      </c>
      <c r="N12" s="393">
        <v>3.3404656532614969</v>
      </c>
      <c r="O12" s="352">
        <f t="shared" si="0"/>
        <v>6.6411379816408314</v>
      </c>
      <c r="P12" s="352">
        <v>7.160627120046331</v>
      </c>
      <c r="Q12" s="352">
        <f t="shared" si="1"/>
        <v>11.943235815698504</v>
      </c>
      <c r="R12" s="352">
        <v>15.104234848783562</v>
      </c>
      <c r="S12" s="596">
        <v>6.7249999999999996</v>
      </c>
      <c r="T12" s="352">
        <v>5.9434218590398364</v>
      </c>
      <c r="U12" s="352">
        <v>4.7826086956521738</v>
      </c>
      <c r="V12" s="352">
        <v>8.5699500976350613</v>
      </c>
      <c r="W12" s="347">
        <f>SUM(D12:V12)</f>
        <v>189.59359614118512</v>
      </c>
      <c r="Y12" s="349">
        <f t="shared" si="3"/>
        <v>0.18959359614118512</v>
      </c>
      <c r="Z12" s="164">
        <v>28.691097259521484</v>
      </c>
      <c r="AB12" s="350"/>
      <c r="AC12" s="468" t="s">
        <v>199</v>
      </c>
      <c r="AD12" s="468" t="s">
        <v>199</v>
      </c>
    </row>
    <row r="13" spans="1:63" s="325" customFormat="1">
      <c r="A13" s="325" t="s">
        <v>583</v>
      </c>
      <c r="B13" s="168">
        <v>3.9492592592592586</v>
      </c>
      <c r="C13" s="469">
        <v>274</v>
      </c>
      <c r="D13" s="351">
        <v>14.558726738491673</v>
      </c>
      <c r="E13" s="351">
        <v>11.521142948359804</v>
      </c>
      <c r="F13" s="351">
        <v>13.997277351866446</v>
      </c>
      <c r="G13" s="351">
        <v>2.5229653220099082</v>
      </c>
      <c r="H13" s="351">
        <v>38.417046064534084</v>
      </c>
      <c r="I13" s="351">
        <v>14.984384017758044</v>
      </c>
      <c r="J13" s="351">
        <v>5.4427579071829726</v>
      </c>
      <c r="K13" s="352">
        <v>7.3134550814839079</v>
      </c>
      <c r="L13" s="352">
        <v>15.610257194409614</v>
      </c>
      <c r="M13" s="352">
        <v>13.044728434504792</v>
      </c>
      <c r="N13" s="352">
        <v>5.2191456609582456</v>
      </c>
      <c r="O13" s="352">
        <f t="shared" si="0"/>
        <v>7.7421109829681534</v>
      </c>
      <c r="P13" s="352">
        <v>9.8210391329527589</v>
      </c>
      <c r="Q13" s="352">
        <f t="shared" si="1"/>
        <v>16.635754852016305</v>
      </c>
      <c r="R13" s="352">
        <v>14.887315168960212</v>
      </c>
      <c r="S13" s="596">
        <v>11.778357142857143</v>
      </c>
      <c r="T13" s="352">
        <v>7.3588661899897856</v>
      </c>
      <c r="U13" s="352">
        <v>6.8147157190635452</v>
      </c>
      <c r="V13" s="352">
        <v>9.7213278368409632</v>
      </c>
      <c r="W13" s="347">
        <f>SUM(D13:V13)</f>
        <v>227.39137374720838</v>
      </c>
      <c r="Y13" s="349">
        <f t="shared" si="3"/>
        <v>0.22739137374720839</v>
      </c>
      <c r="Z13" s="259">
        <v>20.505861280000001</v>
      </c>
      <c r="AB13" s="350"/>
      <c r="AC13" s="325" t="s">
        <v>211</v>
      </c>
      <c r="AD13" s="325" t="s">
        <v>211</v>
      </c>
    </row>
    <row r="14" spans="1:63" s="325" customFormat="1">
      <c r="A14" s="325" t="s">
        <v>584</v>
      </c>
      <c r="B14" s="168">
        <v>3.492283950617284</v>
      </c>
      <c r="C14" s="469">
        <v>275</v>
      </c>
      <c r="D14" s="351">
        <v>9.6805093046033299</v>
      </c>
      <c r="E14" s="351">
        <v>12.038758081251496</v>
      </c>
      <c r="F14" s="351">
        <v>18.46815218170094</v>
      </c>
      <c r="G14" s="351">
        <v>2.6957891012031143</v>
      </c>
      <c r="H14" s="351">
        <v>27.466530149704763</v>
      </c>
      <c r="I14" s="351">
        <v>11.826859045504992</v>
      </c>
      <c r="J14" s="351">
        <v>5.329160508424474</v>
      </c>
      <c r="K14" s="352">
        <v>8.98669642125952</v>
      </c>
      <c r="L14" s="352">
        <v>14.263185418514327</v>
      </c>
      <c r="M14" s="352">
        <v>13.412140575079871</v>
      </c>
      <c r="N14" s="352">
        <v>4.2193958052722724</v>
      </c>
      <c r="O14" s="352">
        <f t="shared" si="0"/>
        <v>6.9151849064753872</v>
      </c>
      <c r="P14" s="352">
        <v>9.6308596012244561</v>
      </c>
      <c r="Q14" s="352">
        <f t="shared" si="1"/>
        <v>15.343234183164256</v>
      </c>
      <c r="R14" s="352">
        <v>10.040282323252237</v>
      </c>
      <c r="S14" s="596">
        <v>5.8027142857142859</v>
      </c>
      <c r="T14" s="352">
        <v>7.6745556690500516</v>
      </c>
      <c r="U14" s="352">
        <v>5.7123745819397991</v>
      </c>
      <c r="V14" s="352">
        <v>10.820611846387502</v>
      </c>
      <c r="W14" s="347">
        <f>SUM(D14:V14)</f>
        <v>200.32699398972704</v>
      </c>
      <c r="Y14" s="349">
        <f t="shared" si="3"/>
        <v>0.20032699398972703</v>
      </c>
      <c r="Z14" s="164">
        <v>25.310579299926758</v>
      </c>
      <c r="AB14" s="350"/>
      <c r="AC14" s="325" t="s">
        <v>211</v>
      </c>
      <c r="AD14" s="325" t="s">
        <v>211</v>
      </c>
    </row>
    <row r="15" spans="1:63" s="325" customFormat="1">
      <c r="A15" s="325" t="s">
        <v>585</v>
      </c>
      <c r="B15" s="168">
        <v>3.837530864197531</v>
      </c>
      <c r="C15" s="469">
        <v>276</v>
      </c>
      <c r="D15" s="351">
        <v>18.313915472320161</v>
      </c>
      <c r="E15" s="351">
        <v>17.168592592592592</v>
      </c>
      <c r="F15" s="351">
        <v>26.97505927365604</v>
      </c>
      <c r="G15" s="351">
        <v>3.4049025469329188</v>
      </c>
      <c r="H15" s="351">
        <v>38.802172117463051</v>
      </c>
      <c r="I15" s="351">
        <v>30.81276969165129</v>
      </c>
      <c r="J15" s="351">
        <v>5.171744797230887</v>
      </c>
      <c r="K15" s="352">
        <v>9.6838910133843221</v>
      </c>
      <c r="L15" s="352">
        <v>22.931104191766671</v>
      </c>
      <c r="M15" s="352">
        <v>13.151342617527122</v>
      </c>
      <c r="N15" s="352">
        <v>4.7733559018270526</v>
      </c>
      <c r="O15" s="352">
        <f t="shared" si="0"/>
        <v>8.178258448759971</v>
      </c>
      <c r="P15" s="352">
        <v>10.395371563312832</v>
      </c>
      <c r="Q15" s="352">
        <f t="shared" si="1"/>
        <v>17.882377322399122</v>
      </c>
      <c r="R15" s="352">
        <v>20.217309946330531</v>
      </c>
      <c r="S15" s="596">
        <v>12.007969214282234</v>
      </c>
      <c r="T15" s="352">
        <v>9.7609932869957827</v>
      </c>
      <c r="U15" s="352">
        <v>7.4870057590862897</v>
      </c>
      <c r="V15" s="352">
        <v>13.658050383351586</v>
      </c>
      <c r="W15" s="347">
        <f t="shared" si="2"/>
        <v>290.77618614087044</v>
      </c>
      <c r="Y15" s="349">
        <f t="shared" si="3"/>
        <v>0.29077618614087042</v>
      </c>
      <c r="Z15" s="164">
        <v>30.837608337402344</v>
      </c>
      <c r="AB15" s="350"/>
      <c r="AC15" s="325" t="s">
        <v>211</v>
      </c>
      <c r="AD15" s="325" t="s">
        <v>211</v>
      </c>
    </row>
    <row r="16" spans="1:63" s="325" customFormat="1">
      <c r="A16" s="325" t="s">
        <v>586</v>
      </c>
      <c r="B16" s="168">
        <v>3.465740740740741</v>
      </c>
      <c r="C16" s="469">
        <v>277</v>
      </c>
      <c r="D16" s="351">
        <v>15.660057694949401</v>
      </c>
      <c r="E16" s="351">
        <v>16.574814814814815</v>
      </c>
      <c r="F16" s="351">
        <v>26.24851179876466</v>
      </c>
      <c r="G16" s="351">
        <v>1.5591055841205308</v>
      </c>
      <c r="H16" s="351">
        <v>32.322794931725916</v>
      </c>
      <c r="I16" s="351">
        <v>26.799612672859869</v>
      </c>
      <c r="J16" s="351">
        <v>4.8276569377377028</v>
      </c>
      <c r="K16" s="352">
        <v>8.9835086042065004</v>
      </c>
      <c r="L16" s="352">
        <v>18.224571669978562</v>
      </c>
      <c r="M16" s="352">
        <v>12.379472185889052</v>
      </c>
      <c r="N16" s="352">
        <v>4.2567232538457702</v>
      </c>
      <c r="O16" s="484">
        <f t="shared" si="0"/>
        <v>5.8158288379663006</v>
      </c>
      <c r="P16" s="352">
        <v>10.033546442375476</v>
      </c>
      <c r="Q16" s="352">
        <f t="shared" si="1"/>
        <v>16.299122592982844</v>
      </c>
      <c r="R16" s="352">
        <v>18.682622195718785</v>
      </c>
      <c r="S16" s="596">
        <v>10.755282770714597</v>
      </c>
      <c r="T16" s="352">
        <v>8.6173706410027933</v>
      </c>
      <c r="U16" s="352">
        <v>6.2655761506073668</v>
      </c>
      <c r="V16" s="352">
        <v>12.715005476451259</v>
      </c>
      <c r="W16" s="347">
        <f t="shared" si="2"/>
        <v>257.02118525671216</v>
      </c>
      <c r="Y16" s="349">
        <f t="shared" si="3"/>
        <v>0.25702118525671214</v>
      </c>
      <c r="Z16" s="164">
        <v>25.952020645141602</v>
      </c>
      <c r="AB16" s="350"/>
      <c r="AC16" s="468" t="s">
        <v>199</v>
      </c>
      <c r="AD16" s="325" t="s">
        <v>211</v>
      </c>
    </row>
    <row r="17" spans="1:30" s="325" customFormat="1">
      <c r="A17" s="325" t="s">
        <v>587</v>
      </c>
      <c r="B17" s="168">
        <v>3.5858024691358024</v>
      </c>
      <c r="C17" s="469">
        <v>278</v>
      </c>
      <c r="D17" s="351">
        <v>13.029168002197903</v>
      </c>
      <c r="E17" s="351">
        <v>13.444740740740739</v>
      </c>
      <c r="F17" s="351">
        <v>22.193277909497013</v>
      </c>
      <c r="G17" s="351">
        <v>2.6970225995456176</v>
      </c>
      <c r="H17" s="351">
        <v>28.721016466618629</v>
      </c>
      <c r="I17" s="351">
        <v>20.47690864526281</v>
      </c>
      <c r="J17" s="351">
        <v>3.8506559548737234</v>
      </c>
      <c r="K17" s="352">
        <v>6.8870936902485651</v>
      </c>
      <c r="L17" s="352">
        <v>13.188884542567004</v>
      </c>
      <c r="M17" s="352">
        <v>9.7277833346156815</v>
      </c>
      <c r="N17" s="352">
        <v>5.1656394683128388</v>
      </c>
      <c r="O17" s="352">
        <f t="shared" si="0"/>
        <v>7.8626620678584569</v>
      </c>
      <c r="P17" s="352">
        <v>7.9169312297931294</v>
      </c>
      <c r="Q17" s="352">
        <f t="shared" si="1"/>
        <v>13.306893965117141</v>
      </c>
      <c r="R17" s="352">
        <v>14.329324916205714</v>
      </c>
      <c r="S17" s="596">
        <v>10.231146183447803</v>
      </c>
      <c r="T17" s="352">
        <v>6.9241371116259725</v>
      </c>
      <c r="U17" s="352">
        <v>5.3899627353240103</v>
      </c>
      <c r="V17" s="352">
        <v>9.8858707557502719</v>
      </c>
      <c r="W17" s="347">
        <f t="shared" si="2"/>
        <v>215.22912031960306</v>
      </c>
      <c r="Y17" s="349">
        <f t="shared" si="3"/>
        <v>0.21522912031960306</v>
      </c>
      <c r="Z17" s="164">
        <v>25.346691131591797</v>
      </c>
      <c r="AB17" s="350"/>
      <c r="AC17" s="325" t="s">
        <v>211</v>
      </c>
      <c r="AD17" s="325" t="s">
        <v>211</v>
      </c>
    </row>
    <row r="18" spans="1:30" s="325" customFormat="1">
      <c r="A18" s="325" t="s">
        <v>595</v>
      </c>
      <c r="B18" s="168">
        <v>3.7774691358024688</v>
      </c>
      <c r="C18" s="467">
        <v>286</v>
      </c>
      <c r="D18" s="351">
        <v>14.705838179403818</v>
      </c>
      <c r="E18" s="351">
        <v>16.682666666666666</v>
      </c>
      <c r="F18" s="351">
        <v>23.431461337295083</v>
      </c>
      <c r="G18" s="351">
        <v>3.5040057395671411</v>
      </c>
      <c r="H18" s="351">
        <v>36.890146389469798</v>
      </c>
      <c r="I18" s="351">
        <v>23.194892123339489</v>
      </c>
      <c r="J18" s="351">
        <v>5.0455792487500535</v>
      </c>
      <c r="K18" s="352">
        <v>8.6948374760994263</v>
      </c>
      <c r="L18" s="352">
        <v>17.112256106147608</v>
      </c>
      <c r="M18" s="352">
        <v>13.718858198045703</v>
      </c>
      <c r="N18" s="352">
        <v>5.4782297008015135</v>
      </c>
      <c r="O18" s="352">
        <f>N18+G18</f>
        <v>8.9822354403686546</v>
      </c>
      <c r="P18" s="352">
        <v>10.190378491382454</v>
      </c>
      <c r="Q18" s="352">
        <f>P18+U18</f>
        <v>16.992565976258803</v>
      </c>
      <c r="R18" s="352">
        <v>16.069083506405381</v>
      </c>
      <c r="S18" s="596">
        <v>10.573145306639388</v>
      </c>
      <c r="T18" s="352">
        <v>8.4373670765757733</v>
      </c>
      <c r="U18" s="352">
        <v>6.8021874848763497</v>
      </c>
      <c r="V18" s="352">
        <v>13.063088718510404</v>
      </c>
      <c r="W18" s="347">
        <f>SUM(D18:V18)</f>
        <v>259.56882316660352</v>
      </c>
      <c r="Y18" s="349">
        <f>W18/1000</f>
        <v>0.25956882316660351</v>
      </c>
      <c r="Z18" s="164">
        <v>27.466642379760742</v>
      </c>
      <c r="AB18" s="350"/>
      <c r="AC18" s="325" t="s">
        <v>211</v>
      </c>
      <c r="AD18" s="325" t="s">
        <v>211</v>
      </c>
    </row>
    <row r="19" spans="1:30" s="325" customFormat="1">
      <c r="A19" s="325" t="s">
        <v>599</v>
      </c>
      <c r="B19" s="168">
        <v>3.495987654320988</v>
      </c>
      <c r="C19" s="469">
        <v>291</v>
      </c>
      <c r="D19" s="351">
        <v>15.586977425706305</v>
      </c>
      <c r="E19" s="351">
        <v>16.378074074074075</v>
      </c>
      <c r="F19" s="351">
        <v>24.184872752434543</v>
      </c>
      <c r="G19" s="351">
        <v>3.0102594762644985</v>
      </c>
      <c r="H19" s="351">
        <v>33.628947507161307</v>
      </c>
      <c r="I19" s="351">
        <v>28.106878082730663</v>
      </c>
      <c r="J19" s="351">
        <v>4.708790222640058</v>
      </c>
      <c r="K19" s="352">
        <v>8.9109464627151045</v>
      </c>
      <c r="L19" s="352">
        <v>20.869158673780721</v>
      </c>
      <c r="M19" s="352">
        <v>12.4804185581288</v>
      </c>
      <c r="N19" s="352">
        <v>4.4236670483397216</v>
      </c>
      <c r="O19" s="352">
        <f>N19+G19</f>
        <v>7.4339265246042201</v>
      </c>
      <c r="P19" s="352">
        <v>9.3061915064297338</v>
      </c>
      <c r="Q19" s="352">
        <f>P19+U19</f>
        <v>15.072633939764682</v>
      </c>
      <c r="R19" s="352">
        <v>20.596245193395163</v>
      </c>
      <c r="S19" s="596">
        <v>10.587559062789223</v>
      </c>
      <c r="T19" s="352">
        <v>7.6753519871680629</v>
      </c>
      <c r="U19" s="352">
        <v>5.7664424333349471</v>
      </c>
      <c r="V19" s="352">
        <v>12.343921139101862</v>
      </c>
      <c r="W19" s="347">
        <f>SUM(D19:V19)</f>
        <v>261.07126207056371</v>
      </c>
      <c r="Y19" s="349">
        <f>W19/1000</f>
        <v>0.26107126207056369</v>
      </c>
      <c r="Z19" s="164">
        <v>24.206619262695313</v>
      </c>
      <c r="AB19" s="350"/>
      <c r="AC19" s="325" t="s">
        <v>211</v>
      </c>
      <c r="AD19" s="325" t="s">
        <v>211</v>
      </c>
    </row>
    <row r="20" spans="1:30" s="325" customFormat="1">
      <c r="A20" s="325" t="s">
        <v>600</v>
      </c>
      <c r="B20" s="168">
        <v>3.5113580246913583</v>
      </c>
      <c r="C20" s="468">
        <v>292</v>
      </c>
      <c r="D20" s="351">
        <v>10.239589724804249</v>
      </c>
      <c r="E20" s="351">
        <v>11.102814814814815</v>
      </c>
      <c r="F20" s="351">
        <v>18.34440792486237</v>
      </c>
      <c r="G20" s="351">
        <v>4.0207581011598705</v>
      </c>
      <c r="H20" s="351">
        <v>37.251041245628528</v>
      </c>
      <c r="I20" s="351">
        <v>18.281562622930981</v>
      </c>
      <c r="J20" s="351">
        <v>3.4815435237810348</v>
      </c>
      <c r="K20" s="352">
        <v>7.4281548757170164</v>
      </c>
      <c r="L20" s="352">
        <v>16.001201671073837</v>
      </c>
      <c r="M20" s="352">
        <v>8.5324305608986695</v>
      </c>
      <c r="N20" s="352">
        <v>5.3559416538059441</v>
      </c>
      <c r="O20" s="352">
        <f>N20+G20</f>
        <v>9.3766997549658146</v>
      </c>
      <c r="P20" s="352">
        <v>8.4491722779979082</v>
      </c>
      <c r="Q20" s="352">
        <f>P20+U20</f>
        <v>13.184980243927349</v>
      </c>
      <c r="R20" s="352">
        <v>17.482289074869939</v>
      </c>
      <c r="S20" s="596">
        <v>11.812728335525353</v>
      </c>
      <c r="T20" s="352">
        <v>7.0057387274995548</v>
      </c>
      <c r="U20" s="352">
        <v>4.7358079659294399</v>
      </c>
      <c r="V20" s="352">
        <v>10.404162102957283</v>
      </c>
      <c r="W20" s="347">
        <f>SUM(D20:V20)</f>
        <v>222.49102520314995</v>
      </c>
      <c r="Y20" s="349">
        <f>W20/1000</f>
        <v>0.22249102520314995</v>
      </c>
      <c r="Z20" s="164">
        <v>21.805997848510742</v>
      </c>
      <c r="AB20" s="350"/>
      <c r="AC20" s="325" t="s">
        <v>211</v>
      </c>
      <c r="AD20" s="325" t="s">
        <v>211</v>
      </c>
    </row>
    <row r="21" spans="1:30" s="325" customFormat="1">
      <c r="A21" s="325" t="s">
        <v>601</v>
      </c>
      <c r="B21" s="168">
        <v>3.5148148148148151</v>
      </c>
      <c r="C21" s="468">
        <v>293</v>
      </c>
      <c r="D21" s="351">
        <v>13.63782224460827</v>
      </c>
      <c r="E21" s="351">
        <v>14.044444444444443</v>
      </c>
      <c r="F21" s="351">
        <v>24.592716208928188</v>
      </c>
      <c r="G21" s="351">
        <v>2.2333612340069351</v>
      </c>
      <c r="H21" s="351">
        <v>27.995641706061193</v>
      </c>
      <c r="I21" s="351">
        <v>23.507937180379464</v>
      </c>
      <c r="J21" s="351">
        <v>3.9830776462544333</v>
      </c>
      <c r="K21" s="352">
        <v>7.4770554493307841</v>
      </c>
      <c r="L21" s="352">
        <v>15.605207241319958</v>
      </c>
      <c r="M21" s="352">
        <v>11.440178502731399</v>
      </c>
      <c r="N21" s="393">
        <v>3.9139045153581917</v>
      </c>
      <c r="O21" s="393">
        <f>N21+G21</f>
        <v>6.1472657493651273</v>
      </c>
      <c r="P21" s="352">
        <v>8.6455210637625495</v>
      </c>
      <c r="Q21" s="352">
        <f>P21+U21</f>
        <v>13.812321625152475</v>
      </c>
      <c r="R21" s="352">
        <v>17.750887294112811</v>
      </c>
      <c r="S21" s="596">
        <v>11.331833016708069</v>
      </c>
      <c r="T21" s="352">
        <v>8.2033624428206515</v>
      </c>
      <c r="U21" s="352">
        <v>5.1668005613899251</v>
      </c>
      <c r="V21" s="352">
        <v>11.460679079956186</v>
      </c>
      <c r="W21" s="347">
        <f>SUM(D21:V21)</f>
        <v>230.950017206691</v>
      </c>
      <c r="Y21" s="349">
        <f>W21/1000</f>
        <v>0.23095001720669101</v>
      </c>
      <c r="Z21" s="164">
        <v>22.278650283813477</v>
      </c>
      <c r="AB21" s="350"/>
      <c r="AC21" s="468" t="s">
        <v>199</v>
      </c>
      <c r="AD21" s="468" t="s">
        <v>199</v>
      </c>
    </row>
    <row r="22" spans="1:30" s="325" customFormat="1">
      <c r="A22" s="325" t="s">
        <v>602</v>
      </c>
      <c r="B22" s="168">
        <v>3.5342592592592599</v>
      </c>
      <c r="C22" s="468">
        <v>294</v>
      </c>
      <c r="D22" s="351">
        <v>13.989651540821466</v>
      </c>
      <c r="E22" s="351">
        <v>14.492444444444443</v>
      </c>
      <c r="F22" s="351">
        <v>20.521608173150305</v>
      </c>
      <c r="G22" s="351">
        <v>1.9148152576826498</v>
      </c>
      <c r="H22" s="351">
        <v>34.017327733159938</v>
      </c>
      <c r="I22" s="351">
        <v>26.642418373831212</v>
      </c>
      <c r="J22" s="351">
        <v>4.1874449809837184</v>
      </c>
      <c r="K22" s="352">
        <v>7.4865200764818365</v>
      </c>
      <c r="L22" s="352">
        <v>15.133545086135404</v>
      </c>
      <c r="M22" s="352">
        <v>9.372008925136571</v>
      </c>
      <c r="N22" s="393">
        <v>3.7552048588639417</v>
      </c>
      <c r="O22" s="393">
        <f>N22+G22</f>
        <v>5.670020116546592</v>
      </c>
      <c r="P22" s="352">
        <v>8.0428908282081828</v>
      </c>
      <c r="Q22" s="352">
        <f>P22+U22</f>
        <v>12.725889424733374</v>
      </c>
      <c r="R22" s="352">
        <v>19.218704118771978</v>
      </c>
      <c r="S22" s="596">
        <v>9.9389400360465672</v>
      </c>
      <c r="T22" s="352">
        <v>6.7837343313728988</v>
      </c>
      <c r="U22" s="352">
        <v>4.6829985965251906</v>
      </c>
      <c r="V22" s="352">
        <v>10.401095290251916</v>
      </c>
      <c r="W22" s="347">
        <f>SUM(D22:V22)</f>
        <v>228.97726219314819</v>
      </c>
      <c r="Y22" s="349">
        <f>W22/1000</f>
        <v>0.22897726219314818</v>
      </c>
      <c r="Z22" s="164">
        <v>22.01154899597168</v>
      </c>
      <c r="AB22" s="350"/>
      <c r="AC22" s="468" t="s">
        <v>199</v>
      </c>
      <c r="AD22" s="468" t="s">
        <v>199</v>
      </c>
    </row>
    <row r="23" spans="1:30" s="353" customFormat="1">
      <c r="A23" s="353" t="s">
        <v>588</v>
      </c>
      <c r="B23" s="414">
        <v>4.1901254540459689</v>
      </c>
      <c r="C23" s="353">
        <v>279</v>
      </c>
      <c r="D23" s="354">
        <v>9.2624021246394062</v>
      </c>
      <c r="E23" s="354">
        <v>6.1736296296296285</v>
      </c>
      <c r="F23" s="354">
        <v>15.924211126148585</v>
      </c>
      <c r="G23" s="354">
        <v>3.058041372713141</v>
      </c>
      <c r="H23" s="354">
        <v>29.70212466829517</v>
      </c>
      <c r="I23" s="354">
        <v>10.532018034919965</v>
      </c>
      <c r="J23" s="354">
        <v>3.5190803811802911</v>
      </c>
      <c r="K23" s="355">
        <v>6.2151051625239004</v>
      </c>
      <c r="L23" s="355">
        <v>21.637186086902094</v>
      </c>
      <c r="M23" s="355">
        <v>9.1061014080172367</v>
      </c>
      <c r="N23" s="355">
        <v>5.3992233783043755</v>
      </c>
      <c r="O23" s="355">
        <f t="shared" si="0"/>
        <v>8.457264751017517</v>
      </c>
      <c r="P23" s="355">
        <v>7.5551061088557745</v>
      </c>
      <c r="Q23" s="355">
        <f t="shared" si="1"/>
        <v>13.074536975622461</v>
      </c>
      <c r="R23" s="355">
        <v>11.519631510764739</v>
      </c>
      <c r="S23" s="596">
        <v>7.2999123191582624</v>
      </c>
      <c r="T23" s="393">
        <v>4.173682647181133</v>
      </c>
      <c r="U23" s="355">
        <v>5.5194308667666858</v>
      </c>
      <c r="V23" s="355">
        <v>7.1794085432639649</v>
      </c>
      <c r="W23" s="394">
        <f t="shared" si="2"/>
        <v>185.30809709590432</v>
      </c>
      <c r="Y23" s="356">
        <f t="shared" si="3"/>
        <v>0.18530809709590432</v>
      </c>
      <c r="Z23" s="260">
        <v>13.359435080000001</v>
      </c>
      <c r="AB23" s="357"/>
      <c r="AC23" s="749" t="s">
        <v>199</v>
      </c>
      <c r="AD23" s="749" t="s">
        <v>199</v>
      </c>
    </row>
    <row r="24" spans="1:30" s="353" customFormat="1">
      <c r="A24" s="353" t="s">
        <v>589</v>
      </c>
      <c r="B24" s="414">
        <v>4.1807453984921095</v>
      </c>
      <c r="C24" s="353">
        <v>280</v>
      </c>
      <c r="D24" s="354">
        <v>8.9116168322725393</v>
      </c>
      <c r="E24" s="354">
        <v>6.9048888888888884</v>
      </c>
      <c r="F24" s="354">
        <v>14.765398430901671</v>
      </c>
      <c r="G24" s="354">
        <v>2.3501614253258403</v>
      </c>
      <c r="H24" s="354">
        <v>24.262411472154369</v>
      </c>
      <c r="I24" s="354">
        <v>12.36595152358762</v>
      </c>
      <c r="J24" s="354">
        <v>3.2667492842186228</v>
      </c>
      <c r="K24" s="355">
        <v>5.5431166347992349</v>
      </c>
      <c r="L24" s="355">
        <v>12.380501009215939</v>
      </c>
      <c r="M24" s="355">
        <v>8.1581903516196057</v>
      </c>
      <c r="N24" s="355">
        <v>4.5363369343356394</v>
      </c>
      <c r="O24" s="484">
        <f t="shared" si="0"/>
        <v>6.8864983596614797</v>
      </c>
      <c r="P24" s="355">
        <v>5.4829472251257991</v>
      </c>
      <c r="Q24" s="355">
        <f t="shared" si="1"/>
        <v>9.2920359344129313</v>
      </c>
      <c r="R24" s="355">
        <v>8.850367049824186</v>
      </c>
      <c r="S24" s="596">
        <v>5.8755711432607525</v>
      </c>
      <c r="T24" s="393">
        <v>4.1208816016158742</v>
      </c>
      <c r="U24" s="355">
        <v>3.8090887092871326</v>
      </c>
      <c r="V24" s="355">
        <v>6.3621029572836791</v>
      </c>
      <c r="W24" s="394">
        <f t="shared" si="2"/>
        <v>154.12481576779177</v>
      </c>
      <c r="Y24" s="356">
        <f t="shared" si="3"/>
        <v>0.15412481576779177</v>
      </c>
      <c r="Z24" s="165">
        <v>15.766446113586426</v>
      </c>
      <c r="AB24" s="357"/>
      <c r="AC24" s="749" t="s">
        <v>199</v>
      </c>
      <c r="AD24" s="749" t="s">
        <v>199</v>
      </c>
    </row>
    <row r="25" spans="1:30" s="353" customFormat="1">
      <c r="A25" s="353" t="s">
        <v>590</v>
      </c>
      <c r="B25" s="414">
        <v>4.2682582340470008</v>
      </c>
      <c r="C25" s="353">
        <v>281</v>
      </c>
      <c r="D25" s="354">
        <v>5.3348873653281093</v>
      </c>
      <c r="E25" s="354">
        <v>5.4651448639157154</v>
      </c>
      <c r="F25" s="354">
        <v>5.0737980941463068</v>
      </c>
      <c r="G25" s="354">
        <v>2.0490092002830855</v>
      </c>
      <c r="H25" s="354">
        <v>16.016143462096661</v>
      </c>
      <c r="I25" s="354">
        <v>10.307846836847945</v>
      </c>
      <c r="J25" s="354">
        <v>3.1149127992905701</v>
      </c>
      <c r="K25" s="393">
        <v>4.394504954549177</v>
      </c>
      <c r="L25" s="393">
        <v>7.2258754090339155</v>
      </c>
      <c r="M25" s="355">
        <v>6.3226837060702881</v>
      </c>
      <c r="N25" s="393">
        <v>3.606003463536656</v>
      </c>
      <c r="O25" s="484">
        <f t="shared" si="0"/>
        <v>5.6550126638197415</v>
      </c>
      <c r="P25" s="393">
        <v>4.4235128650616362</v>
      </c>
      <c r="Q25" s="393">
        <f t="shared" si="1"/>
        <v>7.2649844369679908</v>
      </c>
      <c r="R25" s="355">
        <v>5.5950317416505646</v>
      </c>
      <c r="S25" s="596">
        <v>26.957642857142858</v>
      </c>
      <c r="T25" s="393">
        <v>3.9151685393258426</v>
      </c>
      <c r="U25" s="355">
        <v>2.8414715719063546</v>
      </c>
      <c r="V25" s="393">
        <v>5.0722282490778907</v>
      </c>
      <c r="W25" s="394">
        <f>SUM(D25:V25)</f>
        <v>130.63586308005131</v>
      </c>
      <c r="Y25" s="356">
        <f>W25/1000</f>
        <v>0.13063586308005132</v>
      </c>
      <c r="Z25" s="165">
        <v>19.683095932006836</v>
      </c>
      <c r="AB25" s="357"/>
      <c r="AC25" s="749" t="s">
        <v>199</v>
      </c>
      <c r="AD25" s="749" t="s">
        <v>199</v>
      </c>
    </row>
    <row r="26" spans="1:30" s="353" customFormat="1">
      <c r="A26" s="353" t="s">
        <v>591</v>
      </c>
      <c r="B26" s="414">
        <v>4.2158024691358023</v>
      </c>
      <c r="C26" s="353">
        <v>282</v>
      </c>
      <c r="D26" s="354">
        <v>7.8958010897934878</v>
      </c>
      <c r="E26" s="354">
        <v>9.5028148148148155</v>
      </c>
      <c r="F26" s="354">
        <v>19.387217241765285</v>
      </c>
      <c r="G26" s="354">
        <v>2.838598589023078</v>
      </c>
      <c r="H26" s="354">
        <v>20.536351334727517</v>
      </c>
      <c r="I26" s="354">
        <v>10.089993040215452</v>
      </c>
      <c r="J26" s="354">
        <v>3.4940558095807868</v>
      </c>
      <c r="K26" s="355">
        <v>7.1615678776290634</v>
      </c>
      <c r="L26" s="355">
        <v>13.29608048692713</v>
      </c>
      <c r="M26" s="355">
        <v>13.913364622605217</v>
      </c>
      <c r="N26" s="355">
        <v>7.1346144272414991</v>
      </c>
      <c r="O26" s="355">
        <f t="shared" si="0"/>
        <v>9.9732130162645767</v>
      </c>
      <c r="P26" s="355">
        <v>7.1451199649950157</v>
      </c>
      <c r="Q26" s="355">
        <f t="shared" si="1"/>
        <v>12.078537184179066</v>
      </c>
      <c r="R26" s="355">
        <v>6.427410499475644</v>
      </c>
      <c r="S26" s="596">
        <v>6.3184665595011928</v>
      </c>
      <c r="T26" s="355">
        <v>5.776914394344443</v>
      </c>
      <c r="U26" s="355">
        <v>4.9334172191840491</v>
      </c>
      <c r="V26" s="355">
        <v>8.8186199342825837</v>
      </c>
      <c r="W26" s="394">
        <f t="shared" si="2"/>
        <v>176.72215810654987</v>
      </c>
      <c r="Y26" s="356">
        <f t="shared" si="3"/>
        <v>0.17672215810654987</v>
      </c>
      <c r="Z26" s="165">
        <v>17.388208389282227</v>
      </c>
      <c r="AB26" s="357"/>
      <c r="AC26" s="353" t="s">
        <v>211</v>
      </c>
      <c r="AD26" s="353" t="s">
        <v>211</v>
      </c>
    </row>
    <row r="27" spans="1:30" s="353" customFormat="1">
      <c r="A27" s="353" t="s">
        <v>592</v>
      </c>
      <c r="B27" s="414">
        <v>3.9966049382716049</v>
      </c>
      <c r="C27" s="353">
        <v>283</v>
      </c>
      <c r="D27" s="354">
        <v>8.0075095013507944</v>
      </c>
      <c r="E27" s="354">
        <v>7.4856296296296287</v>
      </c>
      <c r="F27" s="354">
        <v>19.002574460940437</v>
      </c>
      <c r="G27" s="354">
        <v>2.5430587109888796</v>
      </c>
      <c r="H27" s="354">
        <v>19.507442489851151</v>
      </c>
      <c r="I27" s="354">
        <v>8.7061457923563434</v>
      </c>
      <c r="J27" s="354">
        <v>3.2657065937353105</v>
      </c>
      <c r="K27" s="355">
        <v>6.8744741873804962</v>
      </c>
      <c r="L27" s="355">
        <v>14.724939368809748</v>
      </c>
      <c r="M27" s="355">
        <v>15.482957605601294</v>
      </c>
      <c r="N27" s="355">
        <v>4.8386219943246873</v>
      </c>
      <c r="O27" s="393">
        <f>N27+G27</f>
        <v>7.3816807053135669</v>
      </c>
      <c r="P27" s="355">
        <v>6.7178452488027816</v>
      </c>
      <c r="Q27" s="355">
        <f>P27+U27</f>
        <v>10.991997114456366</v>
      </c>
      <c r="R27" s="355">
        <v>6.8286360551911338</v>
      </c>
      <c r="S27" s="596">
        <v>7.7021871498855274</v>
      </c>
      <c r="T27" s="355">
        <v>5.4565080496643494</v>
      </c>
      <c r="U27" s="355">
        <v>4.2741518656535842</v>
      </c>
      <c r="V27" s="355">
        <v>8.0825848849945228</v>
      </c>
      <c r="W27" s="394">
        <f>SUM(D27:V27)</f>
        <v>167.87465140893059</v>
      </c>
      <c r="Y27" s="356">
        <f>W27/1000</f>
        <v>0.1678746514089306</v>
      </c>
      <c r="Z27" s="165">
        <v>16.312013626098633</v>
      </c>
      <c r="AB27" s="357"/>
      <c r="AC27" s="749" t="s">
        <v>199</v>
      </c>
      <c r="AD27" s="353" t="s">
        <v>211</v>
      </c>
    </row>
    <row r="28" spans="1:30" s="353" customFormat="1">
      <c r="A28" s="498" t="s">
        <v>604</v>
      </c>
      <c r="B28" s="485">
        <v>4.1586419753086421</v>
      </c>
      <c r="C28" s="498">
        <v>300</v>
      </c>
      <c r="D28" s="499">
        <v>6.9420000000000002</v>
      </c>
      <c r="E28" s="499">
        <v>8.4030000000000005</v>
      </c>
      <c r="F28" s="499">
        <v>12.715</v>
      </c>
      <c r="G28" s="499">
        <v>2.39</v>
      </c>
      <c r="H28" s="499">
        <v>20.152000000000001</v>
      </c>
      <c r="I28" s="499">
        <v>5.3079999999999998</v>
      </c>
      <c r="J28" s="499">
        <v>2.4340000000000002</v>
      </c>
      <c r="K28" s="499">
        <v>4.9530000000000003</v>
      </c>
      <c r="L28" s="499">
        <v>10.009</v>
      </c>
      <c r="M28" s="499">
        <v>6.69</v>
      </c>
      <c r="N28" s="504">
        <v>2.0329999999999999</v>
      </c>
      <c r="O28" s="500">
        <f>N28+G28</f>
        <v>4.423</v>
      </c>
      <c r="P28" s="499">
        <v>5.7169999999999996</v>
      </c>
      <c r="Q28" s="500">
        <f>P28+U28</f>
        <v>9.6739999999999995</v>
      </c>
      <c r="R28" s="499">
        <v>5.4560000000000004</v>
      </c>
      <c r="S28" s="597">
        <v>6.7679999999999998</v>
      </c>
      <c r="T28" s="504">
        <v>4.3920000000000003</v>
      </c>
      <c r="U28" s="499">
        <v>3.9569999999999999</v>
      </c>
      <c r="V28" s="499">
        <v>6.16</v>
      </c>
      <c r="W28" s="394">
        <f>SUM(D28:V28)</f>
        <v>128.57600000000002</v>
      </c>
      <c r="Y28" s="356">
        <f>W28/1000</f>
        <v>0.12857600000000002</v>
      </c>
      <c r="AC28" s="749" t="s">
        <v>199</v>
      </c>
      <c r="AD28" s="749" t="s">
        <v>199</v>
      </c>
    </row>
    <row r="29" spans="1:30" s="336" customFormat="1">
      <c r="A29" s="336" t="s">
        <v>573</v>
      </c>
      <c r="B29" s="381">
        <v>3.5474952741020793</v>
      </c>
      <c r="C29" s="336">
        <v>259</v>
      </c>
      <c r="D29" s="336">
        <v>13.4432908912831</v>
      </c>
      <c r="E29" s="336">
        <v>18.157107510575464</v>
      </c>
      <c r="F29" s="336">
        <v>30.232141577702944</v>
      </c>
      <c r="G29" s="336">
        <v>3.7353503184713381</v>
      </c>
      <c r="H29" s="336">
        <v>45.969860235789973</v>
      </c>
      <c r="I29" s="336">
        <v>17.7427524972253</v>
      </c>
      <c r="J29" s="336">
        <v>6.4534141294708833</v>
      </c>
      <c r="K29" s="336">
        <v>11.834706412251249</v>
      </c>
      <c r="L29" s="337">
        <v>22.234695250619282</v>
      </c>
      <c r="M29" s="337">
        <v>19.145899893503728</v>
      </c>
      <c r="N29" s="337">
        <v>5.944063883009429</v>
      </c>
      <c r="O29" s="343">
        <f>N29+G29</f>
        <v>9.6794142014807676</v>
      </c>
      <c r="P29" s="337">
        <v>14.618606767601555</v>
      </c>
      <c r="Q29" s="343">
        <f>P29+U29</f>
        <v>24.709576667267108</v>
      </c>
      <c r="R29" s="337">
        <v>14.574224202515671</v>
      </c>
      <c r="S29" s="594">
        <v>6.8594999999999997</v>
      </c>
      <c r="T29" s="337">
        <v>11.963186925434117</v>
      </c>
      <c r="U29" s="337">
        <v>10.090969899665552</v>
      </c>
      <c r="V29" s="337">
        <v>15.556888696029505</v>
      </c>
      <c r="W29" s="338">
        <f>SUM(D29:V29)</f>
        <v>302.94564995989697</v>
      </c>
      <c r="Y29" s="339">
        <f>W29/1000</f>
        <v>0.30294564995989698</v>
      </c>
      <c r="Z29" s="340">
        <v>26.73379517</v>
      </c>
      <c r="AB29" s="341"/>
      <c r="AC29" s="336" t="s">
        <v>211</v>
      </c>
      <c r="AD29" s="336" t="s">
        <v>211</v>
      </c>
    </row>
    <row r="30" spans="1:30" s="336" customFormat="1">
      <c r="A30" s="336" t="s">
        <v>593</v>
      </c>
      <c r="B30" s="381">
        <v>3.6435802469135803</v>
      </c>
      <c r="C30" s="336">
        <v>284</v>
      </c>
      <c r="D30" s="342">
        <v>10.851772771792358</v>
      </c>
      <c r="E30" s="342">
        <v>13.044297230425412</v>
      </c>
      <c r="F30" s="342">
        <v>19.575123593895537</v>
      </c>
      <c r="G30" s="342">
        <v>2.9484784147204528</v>
      </c>
      <c r="H30" s="342">
        <v>32.621384122944789</v>
      </c>
      <c r="I30" s="342">
        <v>15.092796892341839</v>
      </c>
      <c r="J30" s="342">
        <v>5.2570351758793965</v>
      </c>
      <c r="K30" s="343">
        <v>8.8826508885431164</v>
      </c>
      <c r="L30" s="343">
        <v>16.137747331722682</v>
      </c>
      <c r="M30" s="343">
        <v>11.992545260915866</v>
      </c>
      <c r="N30" s="343">
        <v>5.8644025399268811</v>
      </c>
      <c r="O30" s="343">
        <f t="shared" si="0"/>
        <v>8.8128809546473335</v>
      </c>
      <c r="P30" s="343">
        <v>10.592264416315048</v>
      </c>
      <c r="Q30" s="343">
        <f t="shared" si="1"/>
        <v>18.902632309291636</v>
      </c>
      <c r="R30" s="343">
        <v>10.19415638184614</v>
      </c>
      <c r="S30" s="596">
        <v>12.316357142857143</v>
      </c>
      <c r="T30" s="343">
        <v>8.896046986721144</v>
      </c>
      <c r="U30" s="343">
        <v>8.3103678929765881</v>
      </c>
      <c r="V30" s="343">
        <v>12.542894337166413</v>
      </c>
      <c r="W30" s="395">
        <f>SUM(D30:V30)</f>
        <v>232.8358346449298</v>
      </c>
      <c r="Y30" s="339">
        <f t="shared" si="3"/>
        <v>0.2328358346449298</v>
      </c>
      <c r="Z30" s="344">
        <v>21.86770439</v>
      </c>
      <c r="AB30" s="341"/>
      <c r="AC30" s="336" t="s">
        <v>211</v>
      </c>
      <c r="AD30" s="336" t="s">
        <v>211</v>
      </c>
    </row>
    <row r="31" spans="1:30" s="336" customFormat="1">
      <c r="A31" s="336" t="s">
        <v>594</v>
      </c>
      <c r="B31" s="381">
        <v>3.5767722117202267</v>
      </c>
      <c r="C31" s="336">
        <v>285</v>
      </c>
      <c r="D31" s="342">
        <v>12.018570029382957</v>
      </c>
      <c r="E31" s="342">
        <v>16.590406257482641</v>
      </c>
      <c r="F31" s="342">
        <v>23.034677939385254</v>
      </c>
      <c r="G31" s="342">
        <v>3.6083510261854208</v>
      </c>
      <c r="H31" s="342">
        <v>48.603053738642913</v>
      </c>
      <c r="I31" s="342">
        <v>13.441964483906768</v>
      </c>
      <c r="J31" s="342">
        <v>6.0900827667750503</v>
      </c>
      <c r="K31" s="343">
        <v>9.7812259438211449</v>
      </c>
      <c r="L31" s="343">
        <v>16.952399155937488</v>
      </c>
      <c r="M31" s="343">
        <v>14.191693290734825</v>
      </c>
      <c r="N31" s="343">
        <v>4.4915720608043106</v>
      </c>
      <c r="O31" s="343">
        <f t="shared" si="0"/>
        <v>8.0999230869897314</v>
      </c>
      <c r="P31" s="343">
        <v>10.838131877223462</v>
      </c>
      <c r="Q31" s="343">
        <f t="shared" si="1"/>
        <v>18.550506459163262</v>
      </c>
      <c r="R31" s="343">
        <v>14.195950475138991</v>
      </c>
      <c r="S31" s="596">
        <v>6.5520714285714297</v>
      </c>
      <c r="T31" s="343">
        <v>8.2760163432073544</v>
      </c>
      <c r="U31" s="343">
        <v>7.7123745819397991</v>
      </c>
      <c r="V31" s="343">
        <v>11.54673464959861</v>
      </c>
      <c r="W31" s="395">
        <f>SUM(D31:V31)</f>
        <v>254.57570559489145</v>
      </c>
      <c r="Y31" s="339">
        <f t="shared" si="3"/>
        <v>0.25457570559489145</v>
      </c>
      <c r="Z31" s="340">
        <v>30.116676330566406</v>
      </c>
      <c r="AB31" s="341"/>
      <c r="AC31" s="336" t="s">
        <v>211</v>
      </c>
      <c r="AD31" s="336" t="s">
        <v>211</v>
      </c>
    </row>
    <row r="32" spans="1:30" s="336" customFormat="1">
      <c r="A32" s="336" t="s">
        <v>596</v>
      </c>
      <c r="B32" s="381">
        <v>3.6345699432892249</v>
      </c>
      <c r="C32" s="336">
        <v>288</v>
      </c>
      <c r="D32" s="342">
        <v>12.662722652136086</v>
      </c>
      <c r="E32" s="342">
        <v>17.454222222222221</v>
      </c>
      <c r="F32" s="342">
        <v>32.423554791244797</v>
      </c>
      <c r="G32" s="342">
        <v>3.8154729164175536</v>
      </c>
      <c r="H32" s="342">
        <v>47.701456865191645</v>
      </c>
      <c r="I32" s="342">
        <v>14.533083184555332</v>
      </c>
      <c r="J32" s="342">
        <v>6.7983419511986662</v>
      </c>
      <c r="K32" s="343">
        <v>11.633604206500955</v>
      </c>
      <c r="L32" s="343">
        <v>20.106175775688062</v>
      </c>
      <c r="M32" s="343">
        <v>15.594983457721012</v>
      </c>
      <c r="N32" s="343">
        <v>4.1344352068502008</v>
      </c>
      <c r="O32" s="343">
        <f t="shared" si="0"/>
        <v>7.949908123267754</v>
      </c>
      <c r="P32" s="343">
        <v>12.626832292097138</v>
      </c>
      <c r="Q32" s="343">
        <f t="shared" si="1"/>
        <v>22.374419767294352</v>
      </c>
      <c r="R32" s="343">
        <v>13.951504184573627</v>
      </c>
      <c r="S32" s="596">
        <v>12.597622874957377</v>
      </c>
      <c r="T32" s="343">
        <v>9.2353828788688883</v>
      </c>
      <c r="U32" s="343">
        <v>9.7475874751972142</v>
      </c>
      <c r="V32" s="343">
        <v>13.041621029572836</v>
      </c>
      <c r="W32" s="395">
        <f t="shared" si="2"/>
        <v>288.38293185555574</v>
      </c>
      <c r="Y32" s="339">
        <f t="shared" si="3"/>
        <v>0.28838293185555575</v>
      </c>
      <c r="Z32" s="340">
        <v>25.956832885742188</v>
      </c>
      <c r="AB32" s="341"/>
      <c r="AC32" s="336" t="s">
        <v>211</v>
      </c>
      <c r="AD32" s="336" t="s">
        <v>211</v>
      </c>
    </row>
    <row r="33" spans="1:30" s="336" customFormat="1">
      <c r="A33" s="336" t="s">
        <v>597</v>
      </c>
      <c r="B33" s="381">
        <v>3.5651234567901233</v>
      </c>
      <c r="C33" s="336">
        <v>289</v>
      </c>
      <c r="D33" s="342">
        <v>18.703328907001236</v>
      </c>
      <c r="E33" s="342">
        <v>12.721777777777778</v>
      </c>
      <c r="F33" s="342">
        <v>24.767331820540736</v>
      </c>
      <c r="G33" s="342">
        <v>4.2207341862967827</v>
      </c>
      <c r="H33" s="342">
        <v>49.170131627506457</v>
      </c>
      <c r="I33" s="342">
        <v>12.89799376645384</v>
      </c>
      <c r="J33" s="342">
        <v>5.502277680441007</v>
      </c>
      <c r="K33" s="343">
        <v>10.016730401529635</v>
      </c>
      <c r="L33" s="343">
        <v>29.784077858271655</v>
      </c>
      <c r="M33" s="343">
        <v>9.837347080095407</v>
      </c>
      <c r="N33" s="343">
        <v>5.3937272863045749</v>
      </c>
      <c r="O33" s="343">
        <f t="shared" si="0"/>
        <v>9.6144614726013575</v>
      </c>
      <c r="P33" s="343">
        <v>13.034348639910542</v>
      </c>
      <c r="Q33" s="343">
        <f t="shared" si="1"/>
        <v>22.076675504354235</v>
      </c>
      <c r="R33" s="343">
        <v>18.554452920976335</v>
      </c>
      <c r="S33" s="596">
        <v>11.96603828730089</v>
      </c>
      <c r="T33" s="343">
        <v>7.6693518683538295</v>
      </c>
      <c r="U33" s="343">
        <v>9.0423268644436927</v>
      </c>
      <c r="V33" s="343">
        <v>12.078641840087622</v>
      </c>
      <c r="W33" s="395">
        <f t="shared" si="2"/>
        <v>287.05175579024763</v>
      </c>
      <c r="Y33" s="339">
        <f t="shared" si="3"/>
        <v>0.28705175579024761</v>
      </c>
      <c r="Z33" s="340">
        <v>25.907960891723633</v>
      </c>
      <c r="AB33" s="341"/>
      <c r="AC33" s="336" t="s">
        <v>211</v>
      </c>
      <c r="AD33" s="336" t="s">
        <v>211</v>
      </c>
    </row>
    <row r="34" spans="1:30" s="336" customFormat="1">
      <c r="A34" s="336" t="s">
        <v>598</v>
      </c>
      <c r="B34" s="381">
        <v>3.7024691358024691</v>
      </c>
      <c r="C34" s="336">
        <v>290</v>
      </c>
      <c r="D34" s="342">
        <v>11.235569394203031</v>
      </c>
      <c r="E34" s="342">
        <v>10.122666666666667</v>
      </c>
      <c r="F34" s="342">
        <v>21.018591067739866</v>
      </c>
      <c r="G34" s="342">
        <v>3.3907449479851728</v>
      </c>
      <c r="H34" s="342">
        <v>40.6879074916964</v>
      </c>
      <c r="I34" s="342">
        <v>13.190885708233729</v>
      </c>
      <c r="J34" s="342">
        <v>4.4439468398786373</v>
      </c>
      <c r="K34" s="343">
        <v>7.2861854684512419</v>
      </c>
      <c r="L34" s="343">
        <v>20.944826399211401</v>
      </c>
      <c r="M34" s="343">
        <v>8.7946449180580135</v>
      </c>
      <c r="N34" s="343">
        <v>4.0856573903519688</v>
      </c>
      <c r="O34" s="393">
        <f t="shared" si="0"/>
        <v>7.4764023383371416</v>
      </c>
      <c r="P34" s="343">
        <v>9.7235870384325533</v>
      </c>
      <c r="Q34" s="343">
        <f t="shared" si="1"/>
        <v>16.021530221900591</v>
      </c>
      <c r="R34" s="343">
        <v>13.933671937652939</v>
      </c>
      <c r="S34" s="596">
        <v>9.18156266744605</v>
      </c>
      <c r="T34" s="343">
        <v>6.644531574882671</v>
      </c>
      <c r="U34" s="343">
        <v>6.2979431834680355</v>
      </c>
      <c r="V34" s="343">
        <v>9.2479737130339519</v>
      </c>
      <c r="W34" s="395">
        <f t="shared" si="2"/>
        <v>223.72882896763008</v>
      </c>
      <c r="Y34" s="339">
        <f t="shared" si="3"/>
        <v>0.22372882896763008</v>
      </c>
      <c r="Z34" s="340">
        <v>19.914422988891602</v>
      </c>
      <c r="AB34" s="341"/>
      <c r="AC34" s="750" t="s">
        <v>199</v>
      </c>
      <c r="AD34" s="336" t="s">
        <v>211</v>
      </c>
    </row>
    <row r="35" spans="1:30">
      <c r="A35" s="396"/>
      <c r="B35" s="169"/>
      <c r="C35" s="396"/>
      <c r="D35" s="751"/>
      <c r="E35" s="751"/>
      <c r="F35" s="751"/>
      <c r="G35" s="251" t="s">
        <v>661</v>
      </c>
      <c r="H35" s="751"/>
      <c r="I35" s="751"/>
      <c r="J35" s="751"/>
      <c r="K35" s="751"/>
      <c r="L35" s="751"/>
      <c r="M35" s="751"/>
      <c r="N35" s="751" t="s">
        <v>664</v>
      </c>
      <c r="O35" s="405" t="s">
        <v>661</v>
      </c>
      <c r="P35" s="405"/>
      <c r="Q35" s="752"/>
      <c r="R35" s="751"/>
      <c r="S35" s="751"/>
      <c r="T35" s="751"/>
      <c r="U35" s="751"/>
      <c r="V35" s="751"/>
      <c r="W35" s="753"/>
      <c r="Y35" s="465"/>
      <c r="AC35" s="328"/>
      <c r="AD35" s="328"/>
    </row>
    <row r="36" spans="1:30" ht="51" hidden="1" customHeight="1">
      <c r="A36" s="2" t="s">
        <v>0</v>
      </c>
      <c r="B36" s="3" t="s">
        <v>126</v>
      </c>
      <c r="C36" s="161" t="s">
        <v>550</v>
      </c>
      <c r="D36" s="162" t="s">
        <v>665</v>
      </c>
      <c r="E36" s="239" t="s">
        <v>666</v>
      </c>
      <c r="F36" s="157" t="s">
        <v>667</v>
      </c>
      <c r="G36" s="157" t="s">
        <v>668</v>
      </c>
      <c r="H36" s="157" t="s">
        <v>669</v>
      </c>
      <c r="I36" s="157" t="s">
        <v>670</v>
      </c>
      <c r="J36" s="239" t="s">
        <v>671</v>
      </c>
      <c r="K36" s="239" t="s">
        <v>672</v>
      </c>
      <c r="L36" s="239" t="s">
        <v>673</v>
      </c>
      <c r="M36" s="239" t="s">
        <v>674</v>
      </c>
      <c r="N36" s="240" t="s">
        <v>675</v>
      </c>
      <c r="O36" s="241" t="s">
        <v>676</v>
      </c>
      <c r="P36" s="239" t="s">
        <v>677</v>
      </c>
      <c r="Q36" s="242" t="s">
        <v>678</v>
      </c>
      <c r="R36" s="157" t="s">
        <v>679</v>
      </c>
      <c r="S36" s="592" t="s">
        <v>566</v>
      </c>
      <c r="T36" s="239" t="s">
        <v>680</v>
      </c>
      <c r="U36" s="157" t="s">
        <v>681</v>
      </c>
      <c r="V36" s="239" t="s">
        <v>682</v>
      </c>
      <c r="W36" s="157" t="s">
        <v>683</v>
      </c>
      <c r="Y36" s="262" t="s">
        <v>571</v>
      </c>
      <c r="Z36" s="3" t="s">
        <v>572</v>
      </c>
      <c r="AC36" s="747"/>
      <c r="AD36" s="747"/>
    </row>
    <row r="37" spans="1:30" s="602" customFormat="1" hidden="1">
      <c r="A37" s="971" t="s">
        <v>607</v>
      </c>
      <c r="B37" s="381">
        <v>3.5474952741020793</v>
      </c>
      <c r="C37" s="336">
        <v>259</v>
      </c>
      <c r="D37" s="602">
        <f t="shared" ref="D37:W37" si="4">D29/10</f>
        <v>1.34432908912831</v>
      </c>
      <c r="E37" s="602">
        <f t="shared" si="4"/>
        <v>1.8157107510575465</v>
      </c>
      <c r="F37" s="602">
        <f t="shared" si="4"/>
        <v>3.0232141577702945</v>
      </c>
      <c r="G37" s="602">
        <f t="shared" si="4"/>
        <v>0.37353503184713382</v>
      </c>
      <c r="H37" s="602">
        <f t="shared" si="4"/>
        <v>4.5969860235789977</v>
      </c>
      <c r="I37" s="602">
        <f t="shared" si="4"/>
        <v>1.77427524972253</v>
      </c>
      <c r="J37" s="602">
        <f t="shared" si="4"/>
        <v>0.64534141294708836</v>
      </c>
      <c r="K37" s="602">
        <f t="shared" si="4"/>
        <v>1.1834706412251248</v>
      </c>
      <c r="L37" s="602">
        <f t="shared" si="4"/>
        <v>2.2234695250619283</v>
      </c>
      <c r="M37" s="602">
        <f t="shared" si="4"/>
        <v>1.9145899893503728</v>
      </c>
      <c r="N37" s="602">
        <f t="shared" si="4"/>
        <v>0.59440638830094294</v>
      </c>
      <c r="O37" s="602">
        <f t="shared" si="4"/>
        <v>0.96794142014807671</v>
      </c>
      <c r="P37" s="602">
        <f t="shared" si="4"/>
        <v>1.4618606767601556</v>
      </c>
      <c r="Q37" s="602">
        <f t="shared" si="4"/>
        <v>2.4709576667267106</v>
      </c>
      <c r="R37" s="602">
        <f t="shared" si="4"/>
        <v>1.4574224202515671</v>
      </c>
      <c r="S37" s="602">
        <f t="shared" si="4"/>
        <v>0.68594999999999995</v>
      </c>
      <c r="T37" s="602">
        <f t="shared" si="4"/>
        <v>1.1963186925434117</v>
      </c>
      <c r="U37" s="602">
        <f t="shared" si="4"/>
        <v>1.0090969899665552</v>
      </c>
      <c r="V37" s="602">
        <f t="shared" si="4"/>
        <v>1.5556888696029505</v>
      </c>
      <c r="W37" s="602">
        <f t="shared" si="4"/>
        <v>30.294564995989695</v>
      </c>
      <c r="AB37" s="748"/>
    </row>
    <row r="38" spans="1:30" s="602" customFormat="1" hidden="1">
      <c r="A38" s="971"/>
      <c r="B38" s="168">
        <v>3.899382716049383</v>
      </c>
      <c r="C38" s="467">
        <v>265</v>
      </c>
      <c r="D38" s="602">
        <f t="shared" ref="D38:W38" si="5">D4/10</f>
        <v>1.9005046018590595</v>
      </c>
      <c r="E38" s="602">
        <f t="shared" si="5"/>
        <v>2.024888888888889</v>
      </c>
      <c r="F38" s="602">
        <f t="shared" si="5"/>
        <v>3.0193847750653786</v>
      </c>
      <c r="G38" s="602">
        <f t="shared" si="5"/>
        <v>0.32969508549563553</v>
      </c>
      <c r="H38" s="602">
        <f t="shared" si="5"/>
        <v>4.3779414090645483</v>
      </c>
      <c r="I38" s="602">
        <f t="shared" si="5"/>
        <v>2.4005047356794873</v>
      </c>
      <c r="J38" s="602">
        <f t="shared" si="5"/>
        <v>0.66899021409341475</v>
      </c>
      <c r="K38" s="602">
        <f t="shared" si="5"/>
        <v>1.16414913957935</v>
      </c>
      <c r="L38" s="602">
        <f t="shared" si="5"/>
        <v>2.1292897936192512</v>
      </c>
      <c r="M38" s="602">
        <f t="shared" si="5"/>
        <v>1.9092405939832271</v>
      </c>
      <c r="N38" s="602">
        <f t="shared" si="5"/>
        <v>0.55160153333001438</v>
      </c>
      <c r="O38" s="602">
        <f t="shared" si="5"/>
        <v>0.88129661882564991</v>
      </c>
      <c r="P38" s="602">
        <f t="shared" si="5"/>
        <v>1.7502350352655713</v>
      </c>
      <c r="Q38" s="602">
        <f t="shared" si="5"/>
        <v>2.6098352869231238</v>
      </c>
      <c r="R38" s="602">
        <f t="shared" si="5"/>
        <v>1.0885415552783224</v>
      </c>
      <c r="S38" s="602">
        <f t="shared" si="5"/>
        <v>0.85960025165755238</v>
      </c>
      <c r="T38" s="602">
        <f t="shared" si="5"/>
        <v>1.4335815991237677</v>
      </c>
      <c r="U38" s="602">
        <f t="shared" si="5"/>
        <v>0.85960025165755238</v>
      </c>
      <c r="V38" s="602">
        <f t="shared" si="5"/>
        <v>1.4335815991237677</v>
      </c>
      <c r="W38" s="602">
        <f t="shared" si="5"/>
        <v>31.392462968513563</v>
      </c>
    </row>
    <row r="39" spans="1:30" s="602" customFormat="1" hidden="1">
      <c r="A39" s="971"/>
      <c r="B39" s="168">
        <v>3.6053086419753084</v>
      </c>
      <c r="C39" s="467">
        <v>266</v>
      </c>
      <c r="D39" s="602">
        <f t="shared" ref="D39:W39" si="6">D5/10</f>
        <v>1.4775786437107927</v>
      </c>
      <c r="E39" s="602">
        <f t="shared" si="6"/>
        <v>1.6065185185185182</v>
      </c>
      <c r="F39" s="602">
        <f t="shared" si="6"/>
        <v>2.6386494764584372</v>
      </c>
      <c r="G39" s="602">
        <f t="shared" si="6"/>
        <v>0.36862848260193715</v>
      </c>
      <c r="H39" s="602">
        <f t="shared" si="6"/>
        <v>3.4610055708837848</v>
      </c>
      <c r="I39" s="602">
        <f t="shared" si="6"/>
        <v>2.0206856900777685</v>
      </c>
      <c r="J39" s="602">
        <f t="shared" si="6"/>
        <v>0.48234861758044528</v>
      </c>
      <c r="K39" s="602">
        <f t="shared" si="6"/>
        <v>1.0485229445506694</v>
      </c>
      <c r="L39" s="602">
        <f t="shared" si="6"/>
        <v>2.0536220681885742</v>
      </c>
      <c r="M39" s="602">
        <f t="shared" si="6"/>
        <v>1.2900207740247749</v>
      </c>
      <c r="N39" s="602">
        <f t="shared" si="6"/>
        <v>0.46922885448299895</v>
      </c>
      <c r="O39" s="602">
        <f t="shared" si="6"/>
        <v>0.83785733708493615</v>
      </c>
      <c r="P39" s="602">
        <f t="shared" si="6"/>
        <v>1.0170620123003622</v>
      </c>
      <c r="Q39" s="602">
        <f t="shared" si="6"/>
        <v>1.612274711327609</v>
      </c>
      <c r="R39" s="602">
        <f t="shared" si="6"/>
        <v>1.5674545043285149</v>
      </c>
      <c r="S39" s="602">
        <f t="shared" si="6"/>
        <v>1.0847006673486288</v>
      </c>
      <c r="T39" s="602">
        <f t="shared" si="6"/>
        <v>0.83917661735875959</v>
      </c>
      <c r="U39" s="602">
        <f t="shared" si="6"/>
        <v>0.59521269902724694</v>
      </c>
      <c r="V39" s="602">
        <f t="shared" si="6"/>
        <v>1.2537130339539977</v>
      </c>
      <c r="W39" s="602">
        <f t="shared" si="6"/>
        <v>25.724261223808753</v>
      </c>
    </row>
    <row r="40" spans="1:30" s="602" customFormat="1" hidden="1">
      <c r="A40" s="971"/>
      <c r="B40" s="168">
        <v>3.94320987654321</v>
      </c>
      <c r="C40" s="467">
        <v>267</v>
      </c>
      <c r="D40" s="602">
        <f t="shared" ref="D40:W40" si="7">D6/10</f>
        <v>1.5829186318054858</v>
      </c>
      <c r="E40" s="602">
        <f t="shared" si="7"/>
        <v>1.5682370370370369</v>
      </c>
      <c r="F40" s="602">
        <f t="shared" si="7"/>
        <v>2.7098389181158606</v>
      </c>
      <c r="G40" s="602">
        <f t="shared" si="7"/>
        <v>0.20386942484754272</v>
      </c>
      <c r="H40" s="602">
        <f t="shared" si="7"/>
        <v>3.7106444299949031</v>
      </c>
      <c r="I40" s="602">
        <f t="shared" si="7"/>
        <v>2.2281284231549008</v>
      </c>
      <c r="J40" s="602">
        <f t="shared" si="7"/>
        <v>0.51237810349985036</v>
      </c>
      <c r="K40" s="602">
        <f t="shared" si="7"/>
        <v>1.0728154875717018</v>
      </c>
      <c r="L40" s="602">
        <f t="shared" si="7"/>
        <v>2.0307956376836538</v>
      </c>
      <c r="M40" s="602">
        <f t="shared" si="7"/>
        <v>1.5871970454720323</v>
      </c>
      <c r="N40" s="602">
        <f t="shared" si="7"/>
        <v>0.55792203912978544</v>
      </c>
      <c r="O40" s="602">
        <f t="shared" si="7"/>
        <v>0.76179146397732811</v>
      </c>
      <c r="P40" s="602">
        <f t="shared" si="7"/>
        <v>1.0773250358557989</v>
      </c>
      <c r="Q40" s="602">
        <f t="shared" si="7"/>
        <v>1.8471493595261279</v>
      </c>
      <c r="R40" s="602">
        <f t="shared" si="7"/>
        <v>1.5084966379469886</v>
      </c>
      <c r="S40" s="602">
        <f t="shared" si="7"/>
        <v>1.1399970773052752</v>
      </c>
      <c r="T40" s="602">
        <f t="shared" si="7"/>
        <v>0.9236582902631737</v>
      </c>
      <c r="U40" s="602">
        <f t="shared" si="7"/>
        <v>0.76982432367032883</v>
      </c>
      <c r="V40" s="602">
        <f t="shared" si="7"/>
        <v>1.3868127053669221</v>
      </c>
      <c r="W40" s="602">
        <f t="shared" si="7"/>
        <v>27.179800072224698</v>
      </c>
    </row>
    <row r="41" spans="1:30" s="602" customFormat="1" hidden="1">
      <c r="A41" s="971"/>
      <c r="B41" s="168">
        <v>3.8748765432098766</v>
      </c>
      <c r="C41" s="467">
        <v>268</v>
      </c>
      <c r="D41" s="602">
        <f t="shared" ref="D41:W41" si="8">D7/10</f>
        <v>2.0636824030404322</v>
      </c>
      <c r="E41" s="602">
        <f t="shared" si="8"/>
        <v>2.0586666666666664</v>
      </c>
      <c r="F41" s="602">
        <f t="shared" si="8"/>
        <v>3.2219633062997972</v>
      </c>
      <c r="G41" s="602">
        <f t="shared" si="8"/>
        <v>0.43587707760373073</v>
      </c>
      <c r="H41" s="602">
        <f t="shared" si="8"/>
        <v>5.4245364919248544</v>
      </c>
      <c r="I41" s="602">
        <f t="shared" si="8"/>
        <v>3.21482494628862</v>
      </c>
      <c r="J41" s="602">
        <f t="shared" si="8"/>
        <v>0.67357805221999056</v>
      </c>
      <c r="K41" s="602">
        <f t="shared" si="8"/>
        <v>1.314163479923518</v>
      </c>
      <c r="L41" s="602">
        <f t="shared" si="8"/>
        <v>3.1863679178858093</v>
      </c>
      <c r="M41" s="602">
        <f t="shared" si="8"/>
        <v>1.6710317765638227</v>
      </c>
      <c r="N41" s="602">
        <f t="shared" si="8"/>
        <v>0.68927863792502608</v>
      </c>
      <c r="O41" s="602">
        <f t="shared" si="8"/>
        <v>1.1251557155287568</v>
      </c>
      <c r="P41" s="602">
        <f t="shared" si="8"/>
        <v>1.4736038116537424</v>
      </c>
      <c r="Q41" s="602">
        <f t="shared" si="8"/>
        <v>2.4073075332817733</v>
      </c>
      <c r="R41" s="602">
        <f t="shared" si="8"/>
        <v>2.5926972507248469</v>
      </c>
      <c r="S41" s="602">
        <f t="shared" si="8"/>
        <v>1.4707272638706219</v>
      </c>
      <c r="T41" s="602">
        <f t="shared" si="8"/>
        <v>1.0845814768609281</v>
      </c>
      <c r="U41" s="602">
        <f t="shared" si="8"/>
        <v>0.93370372162803095</v>
      </c>
      <c r="V41" s="602">
        <f t="shared" si="8"/>
        <v>1.8492880613362541</v>
      </c>
      <c r="W41" s="602">
        <f t="shared" si="8"/>
        <v>36.891035591227222</v>
      </c>
    </row>
    <row r="42" spans="1:30" hidden="1">
      <c r="B42" s="168">
        <v>3.8876543209876546</v>
      </c>
      <c r="C42" s="467">
        <v>269</v>
      </c>
      <c r="D42" s="602">
        <f t="shared" ref="D42:W42" si="9">D8/10</f>
        <v>1.7593552818352489</v>
      </c>
      <c r="E42" s="602">
        <f t="shared" si="9"/>
        <v>1.7112888888888889</v>
      </c>
      <c r="F42" s="602">
        <f t="shared" si="9"/>
        <v>2.7569729223693176</v>
      </c>
      <c r="G42" s="602">
        <f t="shared" si="9"/>
        <v>0.27978954920483079</v>
      </c>
      <c r="H42" s="602">
        <f t="shared" si="9"/>
        <v>4.880445670702775</v>
      </c>
      <c r="I42" s="602">
        <f t="shared" si="9"/>
        <v>2.2809295851363212</v>
      </c>
      <c r="J42" s="602">
        <f t="shared" si="9"/>
        <v>0.56263578479552145</v>
      </c>
      <c r="K42" s="602">
        <f t="shared" si="9"/>
        <v>1.0109799235181645</v>
      </c>
      <c r="L42" s="602">
        <f t="shared" si="9"/>
        <v>2.213154855971585</v>
      </c>
      <c r="M42" s="602">
        <f t="shared" si="9"/>
        <v>1.5751327229360623</v>
      </c>
      <c r="N42" s="602">
        <f t="shared" si="9"/>
        <v>0.55716632647981279</v>
      </c>
      <c r="O42" s="602">
        <f t="shared" si="9"/>
        <v>0.83695587568464358</v>
      </c>
      <c r="P42" s="602">
        <f t="shared" si="9"/>
        <v>1.2362564115030263</v>
      </c>
      <c r="Q42" s="602">
        <f t="shared" si="9"/>
        <v>2.0835912612344307</v>
      </c>
      <c r="R42" s="602">
        <f t="shared" si="9"/>
        <v>2.0088026156155543</v>
      </c>
      <c r="S42" s="602">
        <f t="shared" si="9"/>
        <v>1.1819280042866187</v>
      </c>
      <c r="T42" s="602">
        <f t="shared" si="9"/>
        <v>0.92209825937147283</v>
      </c>
      <c r="U42" s="602">
        <f t="shared" si="9"/>
        <v>0.84733484973140416</v>
      </c>
      <c r="V42" s="602">
        <f t="shared" si="9"/>
        <v>1.3963198247535595</v>
      </c>
      <c r="W42" s="602">
        <f t="shared" si="9"/>
        <v>30.101138614019238</v>
      </c>
    </row>
    <row r="43" spans="1:30" hidden="1">
      <c r="B43" s="168">
        <v>3.7285185185185186</v>
      </c>
      <c r="C43" s="467">
        <v>270</v>
      </c>
      <c r="D43" s="602">
        <f t="shared" ref="D43:W43" si="10">D9/10</f>
        <v>1.6557901002793165</v>
      </c>
      <c r="E43" s="602">
        <f t="shared" si="10"/>
        <v>1.6656592592592592</v>
      </c>
      <c r="F43" s="602">
        <f t="shared" si="10"/>
        <v>2.5148311336786295</v>
      </c>
      <c r="G43" s="602">
        <f t="shared" si="10"/>
        <v>0.36703575272031563</v>
      </c>
      <c r="H43" s="602">
        <f t="shared" si="10"/>
        <v>3.7227140924028612</v>
      </c>
      <c r="I43" s="602">
        <f t="shared" si="10"/>
        <v>2.5071818924561993</v>
      </c>
      <c r="J43" s="602">
        <f t="shared" si="10"/>
        <v>0.54386735609589332</v>
      </c>
      <c r="K43" s="602">
        <f t="shared" si="10"/>
        <v>1.1248709369024856</v>
      </c>
      <c r="L43" s="602">
        <f t="shared" si="10"/>
        <v>2.5776210667960129</v>
      </c>
      <c r="M43" s="602">
        <f t="shared" si="10"/>
        <v>1.4174347926444564</v>
      </c>
      <c r="N43" s="602">
        <f t="shared" si="10"/>
        <v>0.55215114252999453</v>
      </c>
      <c r="O43" s="602">
        <f t="shared" si="10"/>
        <v>0.91918689525031017</v>
      </c>
      <c r="P43" s="602">
        <f t="shared" si="10"/>
        <v>1.0484284221017575</v>
      </c>
      <c r="Q43" s="602">
        <f t="shared" si="10"/>
        <v>1.8250668579532796</v>
      </c>
      <c r="R43" s="602">
        <f t="shared" si="10"/>
        <v>1.8699339927206924</v>
      </c>
      <c r="S43" s="602">
        <f t="shared" si="10"/>
        <v>1.2474450776949679</v>
      </c>
      <c r="T43" s="602">
        <f t="shared" si="10"/>
        <v>0.96325907443711745</v>
      </c>
      <c r="U43" s="602">
        <f t="shared" si="10"/>
        <v>0.77663843585152226</v>
      </c>
      <c r="V43" s="602">
        <f t="shared" si="10"/>
        <v>1.2589266155531216</v>
      </c>
      <c r="W43" s="602">
        <f t="shared" si="10"/>
        <v>28.558042897328193</v>
      </c>
    </row>
    <row r="44" spans="1:30" hidden="1">
      <c r="B44" s="168">
        <v>3.8925925925925928</v>
      </c>
      <c r="C44" s="468">
        <v>271</v>
      </c>
      <c r="D44" s="602">
        <f t="shared" ref="D44:W44" si="11">D10/10</f>
        <v>1.3169064517606119</v>
      </c>
      <c r="E44" s="602">
        <f t="shared" si="11"/>
        <v>1.1096888888888887</v>
      </c>
      <c r="F44" s="602">
        <f t="shared" si="11"/>
        <v>2.2925930825353857</v>
      </c>
      <c r="G44" s="602">
        <f t="shared" si="11"/>
        <v>0.20847064450556019</v>
      </c>
      <c r="H44" s="602">
        <f t="shared" si="11"/>
        <v>2.6238968068467394</v>
      </c>
      <c r="I44" s="602">
        <f t="shared" si="11"/>
        <v>1.6693497140436353</v>
      </c>
      <c r="J44" s="602">
        <f t="shared" si="11"/>
        <v>0.47327721037562498</v>
      </c>
      <c r="K44" s="602">
        <f t="shared" si="11"/>
        <v>0.750387189292543</v>
      </c>
      <c r="L44" s="602">
        <f t="shared" si="11"/>
        <v>1.6457730281172254</v>
      </c>
      <c r="M44" s="602">
        <f t="shared" si="11"/>
        <v>1.2793106101408018</v>
      </c>
      <c r="N44" s="602">
        <f t="shared" si="11"/>
        <v>0.42209986558470652</v>
      </c>
      <c r="O44" s="602">
        <f t="shared" si="11"/>
        <v>0.63057051009026677</v>
      </c>
      <c r="P44" s="602">
        <f t="shared" si="11"/>
        <v>0.87319639254199388</v>
      </c>
      <c r="Q44" s="602">
        <f t="shared" si="11"/>
        <v>1.2140723544061955</v>
      </c>
      <c r="R44" s="602">
        <f t="shared" si="11"/>
        <v>1.0887701260512843</v>
      </c>
      <c r="S44" s="602">
        <f t="shared" si="11"/>
        <v>0.83101855911150069</v>
      </c>
      <c r="T44" s="602">
        <f t="shared" si="11"/>
        <v>0.71677419354838712</v>
      </c>
      <c r="U44" s="602">
        <f t="shared" si="11"/>
        <v>0.34087596186420177</v>
      </c>
      <c r="V44" s="602">
        <f t="shared" si="11"/>
        <v>1.0672508214676888</v>
      </c>
      <c r="W44" s="602">
        <f t="shared" si="11"/>
        <v>20.55428241117324</v>
      </c>
    </row>
    <row r="45" spans="1:30" hidden="1">
      <c r="B45" s="168">
        <v>3.7620370370370373</v>
      </c>
      <c r="C45" s="468">
        <v>272</v>
      </c>
      <c r="D45" s="602">
        <f t="shared" ref="D45:W45" si="12">D11/10</f>
        <v>1.1500489715964739</v>
      </c>
      <c r="E45" s="602">
        <f t="shared" si="12"/>
        <v>1.235051480565089</v>
      </c>
      <c r="F45" s="602">
        <f t="shared" si="12"/>
        <v>1.227663538009601</v>
      </c>
      <c r="G45" s="602">
        <f t="shared" si="12"/>
        <v>0.29314578910120315</v>
      </c>
      <c r="H45" s="602">
        <f t="shared" si="12"/>
        <v>3.1932921131632832</v>
      </c>
      <c r="I45" s="602">
        <f t="shared" si="12"/>
        <v>1.7890588235294114</v>
      </c>
      <c r="J45" s="602">
        <f t="shared" si="12"/>
        <v>0.46574933490984333</v>
      </c>
      <c r="K45" s="602">
        <f t="shared" si="12"/>
        <v>0.68168741298828928</v>
      </c>
      <c r="L45" s="602">
        <f t="shared" si="12"/>
        <v>1.2620324780574328</v>
      </c>
      <c r="M45" s="602">
        <f t="shared" si="12"/>
        <v>1.0191693290734825</v>
      </c>
      <c r="N45" s="602">
        <f t="shared" si="12"/>
        <v>0.5256984798922455</v>
      </c>
      <c r="O45" s="602">
        <f t="shared" si="12"/>
        <v>0.81884426899344864</v>
      </c>
      <c r="P45" s="602">
        <f t="shared" si="12"/>
        <v>0.79843881856540089</v>
      </c>
      <c r="Q45" s="602">
        <f t="shared" si="12"/>
        <v>1.2916829657225914</v>
      </c>
      <c r="R45" s="602">
        <f t="shared" si="12"/>
        <v>1.6796849493316508</v>
      </c>
      <c r="S45" s="602">
        <f t="shared" si="12"/>
        <v>1.4833428571428573</v>
      </c>
      <c r="T45" s="602">
        <f t="shared" si="12"/>
        <v>0.71432482124616958</v>
      </c>
      <c r="U45" s="602">
        <f t="shared" si="12"/>
        <v>0.49324414715719056</v>
      </c>
      <c r="V45" s="602">
        <f t="shared" si="12"/>
        <v>0.95257105662833585</v>
      </c>
      <c r="W45" s="602">
        <f t="shared" si="12"/>
        <v>21.074731635673999</v>
      </c>
    </row>
    <row r="46" spans="1:30" hidden="1">
      <c r="B46" s="168">
        <v>3.5370370370370376</v>
      </c>
      <c r="C46" s="468">
        <v>273</v>
      </c>
      <c r="D46" s="602">
        <f t="shared" ref="D46:W46" si="13">D12/10</f>
        <v>1.0821625857002937</v>
      </c>
      <c r="E46" s="602">
        <f t="shared" si="13"/>
        <v>1.1819043818341446</v>
      </c>
      <c r="F46" s="602">
        <f t="shared" si="13"/>
        <v>1.2098230278713191</v>
      </c>
      <c r="G46" s="602">
        <f t="shared" si="13"/>
        <v>0.33006723283793349</v>
      </c>
      <c r="H46" s="602">
        <f t="shared" si="13"/>
        <v>3.1207956420604779</v>
      </c>
      <c r="I46" s="602">
        <f t="shared" si="13"/>
        <v>1.6935815760266368</v>
      </c>
      <c r="J46" s="602">
        <f t="shared" si="13"/>
        <v>0.48134643807271649</v>
      </c>
      <c r="K46" s="602">
        <f t="shared" si="13"/>
        <v>0.66352673818688068</v>
      </c>
      <c r="L46" s="602">
        <f t="shared" si="13"/>
        <v>1.1629432092724548</v>
      </c>
      <c r="M46" s="602">
        <f t="shared" si="13"/>
        <v>1.0121405750798722</v>
      </c>
      <c r="N46" s="602">
        <f t="shared" si="13"/>
        <v>0.33404656532614968</v>
      </c>
      <c r="O46" s="602">
        <f t="shared" si="13"/>
        <v>0.66411379816408311</v>
      </c>
      <c r="P46" s="602">
        <f t="shared" si="13"/>
        <v>0.71606271200463312</v>
      </c>
      <c r="Q46" s="602">
        <f t="shared" si="13"/>
        <v>1.1943235815698503</v>
      </c>
      <c r="R46" s="602">
        <f t="shared" si="13"/>
        <v>1.5104234848783562</v>
      </c>
      <c r="S46" s="602">
        <f t="shared" si="13"/>
        <v>0.67249999999999999</v>
      </c>
      <c r="T46" s="602">
        <f t="shared" si="13"/>
        <v>0.59434218590398369</v>
      </c>
      <c r="U46" s="602">
        <f t="shared" si="13"/>
        <v>0.47826086956521741</v>
      </c>
      <c r="V46" s="602">
        <f t="shared" si="13"/>
        <v>0.85699500976350618</v>
      </c>
      <c r="W46" s="602">
        <f t="shared" si="13"/>
        <v>18.959359614118512</v>
      </c>
    </row>
    <row r="47" spans="1:30" hidden="1">
      <c r="B47" s="168">
        <v>3.9492592592592586</v>
      </c>
      <c r="C47" s="469">
        <v>274</v>
      </c>
      <c r="D47" s="602">
        <f t="shared" ref="D47:W47" si="14">D13/10</f>
        <v>1.4558726738491674</v>
      </c>
      <c r="E47" s="602">
        <f t="shared" si="14"/>
        <v>1.1521142948359804</v>
      </c>
      <c r="F47" s="602">
        <f t="shared" si="14"/>
        <v>1.3997277351866446</v>
      </c>
      <c r="G47" s="602">
        <f t="shared" si="14"/>
        <v>0.2522965322009908</v>
      </c>
      <c r="H47" s="602">
        <f t="shared" si="14"/>
        <v>3.8417046064534084</v>
      </c>
      <c r="I47" s="602">
        <f t="shared" si="14"/>
        <v>1.4984384017758043</v>
      </c>
      <c r="J47" s="602">
        <f t="shared" si="14"/>
        <v>0.54427579071829724</v>
      </c>
      <c r="K47" s="602">
        <f t="shared" si="14"/>
        <v>0.73134550814839083</v>
      </c>
      <c r="L47" s="602">
        <f t="shared" si="14"/>
        <v>1.5610257194409614</v>
      </c>
      <c r="M47" s="602">
        <f t="shared" si="14"/>
        <v>1.3044728434504793</v>
      </c>
      <c r="N47" s="602">
        <f t="shared" si="14"/>
        <v>0.52191456609582454</v>
      </c>
      <c r="O47" s="602">
        <f t="shared" si="14"/>
        <v>0.77421109829681534</v>
      </c>
      <c r="P47" s="602">
        <f t="shared" si="14"/>
        <v>0.98210391329527591</v>
      </c>
      <c r="Q47" s="602">
        <f t="shared" si="14"/>
        <v>1.6635754852016305</v>
      </c>
      <c r="R47" s="602">
        <f t="shared" si="14"/>
        <v>1.4887315168960211</v>
      </c>
      <c r="S47" s="602">
        <f t="shared" si="14"/>
        <v>1.1778357142857143</v>
      </c>
      <c r="T47" s="602">
        <f t="shared" si="14"/>
        <v>0.73588661899897856</v>
      </c>
      <c r="U47" s="602">
        <f t="shared" si="14"/>
        <v>0.68147157190635455</v>
      </c>
      <c r="V47" s="602">
        <f t="shared" si="14"/>
        <v>0.97213278368409628</v>
      </c>
      <c r="W47" s="602">
        <f t="shared" si="14"/>
        <v>22.739137374720837</v>
      </c>
    </row>
    <row r="48" spans="1:30" hidden="1">
      <c r="B48" s="168">
        <v>3.492283950617284</v>
      </c>
      <c r="C48" s="469">
        <v>275</v>
      </c>
      <c r="D48" s="602">
        <f t="shared" ref="D48:W48" si="15">D14/10</f>
        <v>0.96805093046033297</v>
      </c>
      <c r="E48" s="602">
        <f t="shared" si="15"/>
        <v>1.2038758081251495</v>
      </c>
      <c r="F48" s="602">
        <f t="shared" si="15"/>
        <v>1.8468152181700941</v>
      </c>
      <c r="G48" s="602">
        <f t="shared" si="15"/>
        <v>0.26957891012031143</v>
      </c>
      <c r="H48" s="602">
        <f t="shared" si="15"/>
        <v>2.7466530149704762</v>
      </c>
      <c r="I48" s="602">
        <f t="shared" si="15"/>
        <v>1.1826859045504992</v>
      </c>
      <c r="J48" s="602">
        <f t="shared" si="15"/>
        <v>0.53291605084244742</v>
      </c>
      <c r="K48" s="602">
        <f t="shared" si="15"/>
        <v>0.89866964212595202</v>
      </c>
      <c r="L48" s="602">
        <f t="shared" si="15"/>
        <v>1.4263185418514328</v>
      </c>
      <c r="M48" s="602">
        <f t="shared" si="15"/>
        <v>1.3412140575079872</v>
      </c>
      <c r="N48" s="602">
        <f t="shared" si="15"/>
        <v>0.42193958052722724</v>
      </c>
      <c r="O48" s="602">
        <f t="shared" si="15"/>
        <v>0.69151849064753868</v>
      </c>
      <c r="P48" s="602">
        <f t="shared" si="15"/>
        <v>0.96308596012244563</v>
      </c>
      <c r="Q48" s="602">
        <f t="shared" si="15"/>
        <v>1.5343234183164256</v>
      </c>
      <c r="R48" s="602">
        <f t="shared" si="15"/>
        <v>1.0040282323252236</v>
      </c>
      <c r="S48" s="602">
        <f t="shared" si="15"/>
        <v>0.58027142857142855</v>
      </c>
      <c r="T48" s="602">
        <f t="shared" si="15"/>
        <v>0.76745556690500516</v>
      </c>
      <c r="U48" s="602">
        <f t="shared" si="15"/>
        <v>0.57123745819397986</v>
      </c>
      <c r="V48" s="602">
        <f t="shared" si="15"/>
        <v>1.0820611846387502</v>
      </c>
      <c r="W48" s="602">
        <f t="shared" si="15"/>
        <v>20.032699398972703</v>
      </c>
    </row>
    <row r="49" spans="2:23" hidden="1">
      <c r="B49" s="168">
        <v>3.837530864197531</v>
      </c>
      <c r="C49" s="469">
        <v>276</v>
      </c>
      <c r="D49" s="602">
        <f t="shared" ref="D49:W49" si="16">D15/10</f>
        <v>1.8313915472320161</v>
      </c>
      <c r="E49" s="602">
        <f t="shared" si="16"/>
        <v>1.7168592592592593</v>
      </c>
      <c r="F49" s="602">
        <f t="shared" si="16"/>
        <v>2.6975059273656039</v>
      </c>
      <c r="G49" s="602">
        <f t="shared" si="16"/>
        <v>0.34049025469329186</v>
      </c>
      <c r="H49" s="602">
        <f t="shared" si="16"/>
        <v>3.880217211746305</v>
      </c>
      <c r="I49" s="602">
        <f t="shared" si="16"/>
        <v>3.0812769691651289</v>
      </c>
      <c r="J49" s="602">
        <f t="shared" si="16"/>
        <v>0.51717447972308872</v>
      </c>
      <c r="K49" s="602">
        <f t="shared" si="16"/>
        <v>0.96838910133843226</v>
      </c>
      <c r="L49" s="602">
        <f t="shared" si="16"/>
        <v>2.2931104191766671</v>
      </c>
      <c r="M49" s="602">
        <f t="shared" si="16"/>
        <v>1.3151342617527122</v>
      </c>
      <c r="N49" s="602">
        <f t="shared" si="16"/>
        <v>0.47733559018270527</v>
      </c>
      <c r="O49" s="602">
        <f t="shared" si="16"/>
        <v>0.81782584487599708</v>
      </c>
      <c r="P49" s="602">
        <f t="shared" si="16"/>
        <v>1.0395371563312832</v>
      </c>
      <c r="Q49" s="602">
        <f t="shared" si="16"/>
        <v>1.7882377322399123</v>
      </c>
      <c r="R49" s="602">
        <f t="shared" si="16"/>
        <v>2.0217309946330531</v>
      </c>
      <c r="S49" s="602">
        <f t="shared" si="16"/>
        <v>1.2007969214282235</v>
      </c>
      <c r="T49" s="602">
        <f t="shared" si="16"/>
        <v>0.97609932869957827</v>
      </c>
      <c r="U49" s="602">
        <f t="shared" si="16"/>
        <v>0.74870057590862893</v>
      </c>
      <c r="V49" s="602">
        <f t="shared" si="16"/>
        <v>1.3658050383351585</v>
      </c>
      <c r="W49" s="602">
        <f t="shared" si="16"/>
        <v>29.077618614087044</v>
      </c>
    </row>
    <row r="50" spans="2:23" hidden="1">
      <c r="B50" s="168">
        <v>3.465740740740741</v>
      </c>
      <c r="C50" s="469">
        <v>277</v>
      </c>
      <c r="D50" s="602">
        <f t="shared" ref="D50:W50" si="17">D16/10</f>
        <v>1.5660057694949401</v>
      </c>
      <c r="E50" s="602">
        <f t="shared" si="17"/>
        <v>1.6574814814814816</v>
      </c>
      <c r="F50" s="602">
        <f t="shared" si="17"/>
        <v>2.6248511798764662</v>
      </c>
      <c r="G50" s="602">
        <f t="shared" si="17"/>
        <v>0.15591055841205309</v>
      </c>
      <c r="H50" s="602">
        <f t="shared" si="17"/>
        <v>3.2322794931725918</v>
      </c>
      <c r="I50" s="602">
        <f t="shared" si="17"/>
        <v>2.6799612672859867</v>
      </c>
      <c r="J50" s="602">
        <f t="shared" si="17"/>
        <v>0.48276569377377027</v>
      </c>
      <c r="K50" s="602">
        <f t="shared" si="17"/>
        <v>0.89835086042065004</v>
      </c>
      <c r="L50" s="602">
        <f t="shared" si="17"/>
        <v>1.8224571669978562</v>
      </c>
      <c r="M50" s="602">
        <f t="shared" si="17"/>
        <v>1.2379472185889051</v>
      </c>
      <c r="N50" s="602">
        <f t="shared" si="17"/>
        <v>0.425672325384577</v>
      </c>
      <c r="O50" s="602">
        <f t="shared" si="17"/>
        <v>0.58158288379663003</v>
      </c>
      <c r="P50" s="602">
        <f t="shared" si="17"/>
        <v>1.0033546442375476</v>
      </c>
      <c r="Q50" s="602">
        <f t="shared" si="17"/>
        <v>1.6299122592982844</v>
      </c>
      <c r="R50" s="602">
        <f t="shared" si="17"/>
        <v>1.8682622195718785</v>
      </c>
      <c r="S50" s="602">
        <f t="shared" si="17"/>
        <v>1.0755282770714598</v>
      </c>
      <c r="T50" s="602">
        <f t="shared" si="17"/>
        <v>0.86173706410027928</v>
      </c>
      <c r="U50" s="602">
        <f t="shared" si="17"/>
        <v>0.62655761506073671</v>
      </c>
      <c r="V50" s="602">
        <f t="shared" si="17"/>
        <v>1.2715005476451258</v>
      </c>
      <c r="W50" s="602">
        <f t="shared" si="17"/>
        <v>25.702118525671217</v>
      </c>
    </row>
    <row r="51" spans="2:23" hidden="1">
      <c r="B51" s="168">
        <v>3.5858024691358024</v>
      </c>
      <c r="C51" s="469">
        <v>278</v>
      </c>
      <c r="D51" s="602">
        <f t="shared" ref="D51:W51" si="18">D17/10</f>
        <v>1.3029168002197902</v>
      </c>
      <c r="E51" s="602">
        <f t="shared" si="18"/>
        <v>1.3444740740740739</v>
      </c>
      <c r="F51" s="602">
        <f t="shared" si="18"/>
        <v>2.2193277909497011</v>
      </c>
      <c r="G51" s="602">
        <f t="shared" si="18"/>
        <v>0.26970225995456176</v>
      </c>
      <c r="H51" s="602">
        <f t="shared" si="18"/>
        <v>2.872101646661863</v>
      </c>
      <c r="I51" s="602">
        <f t="shared" si="18"/>
        <v>2.047690864526281</v>
      </c>
      <c r="J51" s="602">
        <f t="shared" si="18"/>
        <v>0.38506559548737235</v>
      </c>
      <c r="K51" s="602">
        <f t="shared" si="18"/>
        <v>0.68870936902485647</v>
      </c>
      <c r="L51" s="602">
        <f t="shared" si="18"/>
        <v>1.3188884542567005</v>
      </c>
      <c r="M51" s="602">
        <f t="shared" si="18"/>
        <v>0.97277833346156817</v>
      </c>
      <c r="N51" s="602">
        <f t="shared" si="18"/>
        <v>0.51656394683128393</v>
      </c>
      <c r="O51" s="602">
        <f t="shared" si="18"/>
        <v>0.78626620678584569</v>
      </c>
      <c r="P51" s="602">
        <f t="shared" si="18"/>
        <v>0.79169312297931294</v>
      </c>
      <c r="Q51" s="602">
        <f t="shared" si="18"/>
        <v>1.3306893965117141</v>
      </c>
      <c r="R51" s="602">
        <f t="shared" si="18"/>
        <v>1.4329324916205715</v>
      </c>
      <c r="S51" s="602">
        <f t="shared" si="18"/>
        <v>1.0231146183447803</v>
      </c>
      <c r="T51" s="602">
        <f t="shared" si="18"/>
        <v>0.6924137111625972</v>
      </c>
      <c r="U51" s="602">
        <f t="shared" si="18"/>
        <v>0.53899627353240098</v>
      </c>
      <c r="V51" s="602">
        <f t="shared" si="18"/>
        <v>0.98858707557502723</v>
      </c>
      <c r="W51" s="602">
        <f t="shared" si="18"/>
        <v>21.522912031960306</v>
      </c>
    </row>
    <row r="52" spans="2:23" hidden="1">
      <c r="B52" s="414">
        <v>4.1901254540459689</v>
      </c>
      <c r="C52" s="353">
        <v>279</v>
      </c>
      <c r="D52" s="602">
        <f t="shared" ref="D52:W52" si="19">D23/10</f>
        <v>0.92624021246394062</v>
      </c>
      <c r="E52" s="602">
        <f t="shared" si="19"/>
        <v>0.61736296296296289</v>
      </c>
      <c r="F52" s="602">
        <f t="shared" si="19"/>
        <v>1.5924211126148584</v>
      </c>
      <c r="G52" s="602">
        <f t="shared" si="19"/>
        <v>0.30580413727131411</v>
      </c>
      <c r="H52" s="602">
        <f t="shared" si="19"/>
        <v>2.9702124668295169</v>
      </c>
      <c r="I52" s="602">
        <f t="shared" si="19"/>
        <v>1.0532018034919965</v>
      </c>
      <c r="J52" s="602">
        <f t="shared" si="19"/>
        <v>0.35190803811802912</v>
      </c>
      <c r="K52" s="602">
        <f t="shared" si="19"/>
        <v>0.62151051625239007</v>
      </c>
      <c r="L52" s="602">
        <f t="shared" si="19"/>
        <v>2.1637186086902096</v>
      </c>
      <c r="M52" s="602">
        <f t="shared" si="19"/>
        <v>0.91061014080172364</v>
      </c>
      <c r="N52" s="602">
        <f t="shared" si="19"/>
        <v>0.53992233783043753</v>
      </c>
      <c r="O52" s="602">
        <f t="shared" si="19"/>
        <v>0.8457264751017517</v>
      </c>
      <c r="P52" s="602">
        <f t="shared" si="19"/>
        <v>0.75551061088557747</v>
      </c>
      <c r="Q52" s="602">
        <f t="shared" si="19"/>
        <v>1.3074536975622462</v>
      </c>
      <c r="R52" s="602">
        <f t="shared" si="19"/>
        <v>1.1519631510764738</v>
      </c>
      <c r="S52" s="602">
        <f t="shared" si="19"/>
        <v>0.72999123191582627</v>
      </c>
      <c r="T52" s="602">
        <f t="shared" si="19"/>
        <v>0.41736826471811328</v>
      </c>
      <c r="U52" s="602">
        <f t="shared" si="19"/>
        <v>0.55194308667666858</v>
      </c>
      <c r="V52" s="602">
        <f t="shared" si="19"/>
        <v>0.71794085432639654</v>
      </c>
      <c r="W52" s="602">
        <f t="shared" si="19"/>
        <v>18.530809709590432</v>
      </c>
    </row>
    <row r="53" spans="2:23" hidden="1">
      <c r="B53" s="414">
        <v>4.1807453984921095</v>
      </c>
      <c r="C53" s="353">
        <v>280</v>
      </c>
      <c r="D53" s="602">
        <f t="shared" ref="D53:W53" si="20">D24/10</f>
        <v>0.89116168322725398</v>
      </c>
      <c r="E53" s="602">
        <f t="shared" si="20"/>
        <v>0.69048888888888882</v>
      </c>
      <c r="F53" s="602">
        <f t="shared" si="20"/>
        <v>1.4765398430901671</v>
      </c>
      <c r="G53" s="602">
        <f t="shared" si="20"/>
        <v>0.23501614253258402</v>
      </c>
      <c r="H53" s="602">
        <f t="shared" si="20"/>
        <v>2.4262411472154368</v>
      </c>
      <c r="I53" s="602">
        <f t="shared" si="20"/>
        <v>1.2365951523587619</v>
      </c>
      <c r="J53" s="602">
        <f t="shared" si="20"/>
        <v>0.3266749284218623</v>
      </c>
      <c r="K53" s="602">
        <f t="shared" si="20"/>
        <v>0.55431166347992344</v>
      </c>
      <c r="L53" s="602">
        <f t="shared" si="20"/>
        <v>1.2380501009215938</v>
      </c>
      <c r="M53" s="602">
        <f t="shared" si="20"/>
        <v>0.81581903516196053</v>
      </c>
      <c r="N53" s="602">
        <f t="shared" si="20"/>
        <v>0.45363369343356397</v>
      </c>
      <c r="O53" s="602">
        <f t="shared" si="20"/>
        <v>0.68864983596614793</v>
      </c>
      <c r="P53" s="602">
        <f t="shared" si="20"/>
        <v>0.54829472251257994</v>
      </c>
      <c r="Q53" s="602">
        <f t="shared" si="20"/>
        <v>0.92920359344129311</v>
      </c>
      <c r="R53" s="602">
        <f t="shared" si="20"/>
        <v>0.8850367049824186</v>
      </c>
      <c r="S53" s="602">
        <f t="shared" si="20"/>
        <v>0.58755711432607527</v>
      </c>
      <c r="T53" s="602">
        <f t="shared" si="20"/>
        <v>0.41208816016158745</v>
      </c>
      <c r="U53" s="602">
        <f t="shared" si="20"/>
        <v>0.38090887092871328</v>
      </c>
      <c r="V53" s="602">
        <f t="shared" si="20"/>
        <v>0.63621029572836796</v>
      </c>
      <c r="W53" s="602">
        <f t="shared" si="20"/>
        <v>15.412481576779177</v>
      </c>
    </row>
    <row r="54" spans="2:23" hidden="1">
      <c r="B54" s="414">
        <v>4.2682582340470008</v>
      </c>
      <c r="C54" s="353">
        <v>281</v>
      </c>
      <c r="D54" s="602">
        <f t="shared" ref="D54:W54" si="21">D25/10</f>
        <v>0.53348873653281093</v>
      </c>
      <c r="E54" s="602">
        <f t="shared" si="21"/>
        <v>0.54651448639157152</v>
      </c>
      <c r="F54" s="602">
        <f t="shared" si="21"/>
        <v>0.50737980941463068</v>
      </c>
      <c r="G54" s="602">
        <f t="shared" si="21"/>
        <v>0.20490092002830856</v>
      </c>
      <c r="H54" s="602">
        <f t="shared" si="21"/>
        <v>1.6016143462096661</v>
      </c>
      <c r="I54" s="602">
        <f t="shared" si="21"/>
        <v>1.0307846836847945</v>
      </c>
      <c r="J54" s="602">
        <f t="shared" si="21"/>
        <v>0.31149127992905701</v>
      </c>
      <c r="K54" s="602">
        <f t="shared" si="21"/>
        <v>0.43945049545491771</v>
      </c>
      <c r="L54" s="602">
        <f t="shared" si="21"/>
        <v>0.7225875409033915</v>
      </c>
      <c r="M54" s="602">
        <f t="shared" si="21"/>
        <v>0.63226837060702878</v>
      </c>
      <c r="N54" s="602">
        <f t="shared" si="21"/>
        <v>0.36060034635366561</v>
      </c>
      <c r="O54" s="602">
        <f t="shared" si="21"/>
        <v>0.56550126638197418</v>
      </c>
      <c r="P54" s="602">
        <f t="shared" si="21"/>
        <v>0.44235128650616362</v>
      </c>
      <c r="Q54" s="602">
        <f t="shared" si="21"/>
        <v>0.72649844369679906</v>
      </c>
      <c r="R54" s="602">
        <f t="shared" si="21"/>
        <v>0.55950317416505646</v>
      </c>
      <c r="S54" s="602">
        <f t="shared" si="21"/>
        <v>2.6957642857142856</v>
      </c>
      <c r="T54" s="602">
        <f t="shared" si="21"/>
        <v>0.39151685393258429</v>
      </c>
      <c r="U54" s="602">
        <f t="shared" si="21"/>
        <v>0.28414715719063544</v>
      </c>
      <c r="V54" s="602">
        <f t="shared" si="21"/>
        <v>0.50722282490778903</v>
      </c>
      <c r="W54" s="602">
        <f t="shared" si="21"/>
        <v>13.063586308005132</v>
      </c>
    </row>
    <row r="55" spans="2:23" hidden="1">
      <c r="B55" s="414">
        <v>4.2158024691358023</v>
      </c>
      <c r="C55" s="353">
        <v>282</v>
      </c>
      <c r="D55" s="602">
        <f t="shared" ref="D55:W55" si="22">D26/10</f>
        <v>0.78958010897934883</v>
      </c>
      <c r="E55" s="602">
        <f t="shared" si="22"/>
        <v>0.9502814814814815</v>
      </c>
      <c r="F55" s="602">
        <f t="shared" si="22"/>
        <v>1.9387217241765284</v>
      </c>
      <c r="G55" s="602">
        <f t="shared" si="22"/>
        <v>0.2838598589023078</v>
      </c>
      <c r="H55" s="602">
        <f t="shared" si="22"/>
        <v>2.0536351334727518</v>
      </c>
      <c r="I55" s="602">
        <f t="shared" si="22"/>
        <v>1.0089993040215453</v>
      </c>
      <c r="J55" s="602">
        <f t="shared" si="22"/>
        <v>0.34940558095807867</v>
      </c>
      <c r="K55" s="602">
        <f t="shared" si="22"/>
        <v>0.71615678776290637</v>
      </c>
      <c r="L55" s="602">
        <f t="shared" si="22"/>
        <v>1.3296080486927129</v>
      </c>
      <c r="M55" s="602">
        <f t="shared" si="22"/>
        <v>1.3913364622605218</v>
      </c>
      <c r="N55" s="602">
        <f t="shared" si="22"/>
        <v>0.71346144272414991</v>
      </c>
      <c r="O55" s="602">
        <f t="shared" si="22"/>
        <v>0.99732130162645771</v>
      </c>
      <c r="P55" s="602">
        <f t="shared" si="22"/>
        <v>0.71451199649950159</v>
      </c>
      <c r="Q55" s="602">
        <f t="shared" si="22"/>
        <v>1.2078537184179066</v>
      </c>
      <c r="R55" s="602">
        <f t="shared" si="22"/>
        <v>0.64274104994756442</v>
      </c>
      <c r="S55" s="602">
        <f t="shared" si="22"/>
        <v>0.63184665595011924</v>
      </c>
      <c r="T55" s="602">
        <f t="shared" si="22"/>
        <v>0.57769143943444434</v>
      </c>
      <c r="U55" s="602">
        <f t="shared" si="22"/>
        <v>0.49334172191840492</v>
      </c>
      <c r="V55" s="602">
        <f t="shared" si="22"/>
        <v>0.88186199342825833</v>
      </c>
      <c r="W55" s="602">
        <f t="shared" si="22"/>
        <v>17.672215810654986</v>
      </c>
    </row>
    <row r="56" spans="2:23" hidden="1">
      <c r="B56" s="414">
        <v>3.9966049382716049</v>
      </c>
      <c r="C56" s="353">
        <v>283</v>
      </c>
      <c r="D56" s="602">
        <f t="shared" ref="D56:W56" si="23">D27/10</f>
        <v>0.80075095013507946</v>
      </c>
      <c r="E56" s="602">
        <f t="shared" si="23"/>
        <v>0.74856296296296287</v>
      </c>
      <c r="F56" s="602">
        <f t="shared" si="23"/>
        <v>1.9002574460940438</v>
      </c>
      <c r="G56" s="602">
        <f t="shared" si="23"/>
        <v>0.25430587109888797</v>
      </c>
      <c r="H56" s="602">
        <f t="shared" si="23"/>
        <v>1.950744248985115</v>
      </c>
      <c r="I56" s="602">
        <f t="shared" si="23"/>
        <v>0.87061457923563434</v>
      </c>
      <c r="J56" s="602">
        <f t="shared" si="23"/>
        <v>0.32657065937353102</v>
      </c>
      <c r="K56" s="602">
        <f t="shared" si="23"/>
        <v>0.6874474187380496</v>
      </c>
      <c r="L56" s="602">
        <f t="shared" si="23"/>
        <v>1.4724939368809749</v>
      </c>
      <c r="M56" s="602">
        <f t="shared" si="23"/>
        <v>1.5482957605601295</v>
      </c>
      <c r="N56" s="602">
        <f t="shared" si="23"/>
        <v>0.48386219943246872</v>
      </c>
      <c r="O56" s="602">
        <f t="shared" si="23"/>
        <v>0.73816807053135669</v>
      </c>
      <c r="P56" s="602">
        <f t="shared" si="23"/>
        <v>0.67178452488027818</v>
      </c>
      <c r="Q56" s="602">
        <f t="shared" si="23"/>
        <v>1.0991997114456367</v>
      </c>
      <c r="R56" s="602">
        <f t="shared" si="23"/>
        <v>0.6828636055191134</v>
      </c>
      <c r="S56" s="602">
        <f t="shared" si="23"/>
        <v>0.77021871498855277</v>
      </c>
      <c r="T56" s="602">
        <f t="shared" si="23"/>
        <v>0.54565080496643492</v>
      </c>
      <c r="U56" s="602">
        <f t="shared" si="23"/>
        <v>0.42741518656535843</v>
      </c>
      <c r="V56" s="602">
        <f t="shared" si="23"/>
        <v>0.80825848849945225</v>
      </c>
      <c r="W56" s="602">
        <f t="shared" si="23"/>
        <v>16.787465140893058</v>
      </c>
    </row>
    <row r="57" spans="2:23" hidden="1">
      <c r="B57" s="381">
        <v>3.6435802469135803</v>
      </c>
      <c r="C57" s="336">
        <v>284</v>
      </c>
      <c r="D57" s="602">
        <f t="shared" ref="D57:W57" si="24">D30/10</f>
        <v>1.0851772771792358</v>
      </c>
      <c r="E57" s="602">
        <f t="shared" si="24"/>
        <v>1.3044297230425412</v>
      </c>
      <c r="F57" s="602">
        <f t="shared" si="24"/>
        <v>1.9575123593895536</v>
      </c>
      <c r="G57" s="602">
        <f t="shared" si="24"/>
        <v>0.29484784147204529</v>
      </c>
      <c r="H57" s="602">
        <f t="shared" si="24"/>
        <v>3.2621384122944788</v>
      </c>
      <c r="I57" s="602">
        <f t="shared" si="24"/>
        <v>1.509279689234184</v>
      </c>
      <c r="J57" s="602">
        <f t="shared" si="24"/>
        <v>0.52570351758793965</v>
      </c>
      <c r="K57" s="602">
        <f t="shared" si="24"/>
        <v>0.88826508885431166</v>
      </c>
      <c r="L57" s="602">
        <f t="shared" si="24"/>
        <v>1.6137747331722683</v>
      </c>
      <c r="M57" s="602">
        <f t="shared" si="24"/>
        <v>1.1992545260915866</v>
      </c>
      <c r="N57" s="602">
        <f t="shared" si="24"/>
        <v>0.58644025399268807</v>
      </c>
      <c r="O57" s="602">
        <f t="shared" si="24"/>
        <v>0.8812880954647333</v>
      </c>
      <c r="P57" s="602">
        <f t="shared" si="24"/>
        <v>1.0592264416315049</v>
      </c>
      <c r="Q57" s="602">
        <f t="shared" si="24"/>
        <v>1.8902632309291636</v>
      </c>
      <c r="R57" s="602">
        <f t="shared" si="24"/>
        <v>1.019415638184614</v>
      </c>
      <c r="S57" s="602">
        <f t="shared" si="24"/>
        <v>1.2316357142857144</v>
      </c>
      <c r="T57" s="602">
        <f t="shared" si="24"/>
        <v>0.88960469867211445</v>
      </c>
      <c r="U57" s="602">
        <f t="shared" si="24"/>
        <v>0.83103678929765878</v>
      </c>
      <c r="V57" s="602">
        <f t="shared" si="24"/>
        <v>1.2542894337166413</v>
      </c>
      <c r="W57" s="602">
        <f t="shared" si="24"/>
        <v>23.283583464492981</v>
      </c>
    </row>
    <row r="58" spans="2:23" hidden="1">
      <c r="B58" s="381">
        <v>3.5767722117202267</v>
      </c>
      <c r="C58" s="336">
        <v>285</v>
      </c>
      <c r="D58" s="602">
        <f t="shared" ref="D58:W58" si="25">D31/10</f>
        <v>1.2018570029382958</v>
      </c>
      <c r="E58" s="602">
        <f t="shared" si="25"/>
        <v>1.6590406257482642</v>
      </c>
      <c r="F58" s="602">
        <f t="shared" si="25"/>
        <v>2.3034677939385255</v>
      </c>
      <c r="G58" s="602">
        <f t="shared" si="25"/>
        <v>0.36083510261854207</v>
      </c>
      <c r="H58" s="602">
        <f t="shared" si="25"/>
        <v>4.860305373864291</v>
      </c>
      <c r="I58" s="602">
        <f t="shared" si="25"/>
        <v>1.3441964483906768</v>
      </c>
      <c r="J58" s="602">
        <f t="shared" si="25"/>
        <v>0.60900827667750501</v>
      </c>
      <c r="K58" s="602">
        <f t="shared" si="25"/>
        <v>0.97812259438211446</v>
      </c>
      <c r="L58" s="602">
        <f t="shared" si="25"/>
        <v>1.6952399155937488</v>
      </c>
      <c r="M58" s="602">
        <f t="shared" si="25"/>
        <v>1.4191693290734826</v>
      </c>
      <c r="N58" s="602">
        <f t="shared" si="25"/>
        <v>0.44915720608043108</v>
      </c>
      <c r="O58" s="602">
        <f t="shared" si="25"/>
        <v>0.8099923086989731</v>
      </c>
      <c r="P58" s="602">
        <f t="shared" si="25"/>
        <v>1.0838131877223462</v>
      </c>
      <c r="Q58" s="602">
        <f t="shared" si="25"/>
        <v>1.8550506459163263</v>
      </c>
      <c r="R58" s="602">
        <f t="shared" si="25"/>
        <v>1.4195950475138992</v>
      </c>
      <c r="S58" s="602">
        <f t="shared" si="25"/>
        <v>0.65520714285714299</v>
      </c>
      <c r="T58" s="602">
        <f t="shared" si="25"/>
        <v>0.82760163432073541</v>
      </c>
      <c r="U58" s="602">
        <f t="shared" si="25"/>
        <v>0.77123745819397993</v>
      </c>
      <c r="V58" s="602">
        <f t="shared" si="25"/>
        <v>1.1546734649598611</v>
      </c>
      <c r="W58" s="602">
        <f t="shared" si="25"/>
        <v>25.457570559489145</v>
      </c>
    </row>
    <row r="59" spans="2:23" hidden="1">
      <c r="B59" s="168">
        <v>3.7774691358024688</v>
      </c>
      <c r="C59" s="467">
        <v>286</v>
      </c>
      <c r="D59" s="602">
        <f t="shared" ref="D59:W59" si="26">D18/10</f>
        <v>1.4705838179403818</v>
      </c>
      <c r="E59" s="602">
        <f t="shared" si="26"/>
        <v>1.6682666666666666</v>
      </c>
      <c r="F59" s="602">
        <f t="shared" si="26"/>
        <v>2.3431461337295083</v>
      </c>
      <c r="G59" s="602">
        <f t="shared" si="26"/>
        <v>0.35040057395671409</v>
      </c>
      <c r="H59" s="602">
        <f t="shared" si="26"/>
        <v>3.68901463894698</v>
      </c>
      <c r="I59" s="602">
        <f t="shared" si="26"/>
        <v>2.319489212333949</v>
      </c>
      <c r="J59" s="602">
        <f t="shared" si="26"/>
        <v>0.50455792487500539</v>
      </c>
      <c r="K59" s="602">
        <f t="shared" si="26"/>
        <v>0.86948374760994263</v>
      </c>
      <c r="L59" s="602">
        <f t="shared" si="26"/>
        <v>1.7112256106147608</v>
      </c>
      <c r="M59" s="602">
        <f t="shared" si="26"/>
        <v>1.3718858198045703</v>
      </c>
      <c r="N59" s="602">
        <f t="shared" si="26"/>
        <v>0.54782297008015135</v>
      </c>
      <c r="O59" s="602">
        <f t="shared" si="26"/>
        <v>0.89822354403686544</v>
      </c>
      <c r="P59" s="602">
        <f t="shared" si="26"/>
        <v>1.0190378491382455</v>
      </c>
      <c r="Q59" s="602">
        <f t="shared" si="26"/>
        <v>1.6992565976258802</v>
      </c>
      <c r="R59" s="602">
        <f t="shared" si="26"/>
        <v>1.6069083506405382</v>
      </c>
      <c r="S59" s="602">
        <f t="shared" si="26"/>
        <v>1.0573145306639389</v>
      </c>
      <c r="T59" s="602">
        <f t="shared" si="26"/>
        <v>0.84373670765757736</v>
      </c>
      <c r="U59" s="602">
        <f t="shared" si="26"/>
        <v>0.68021874848763497</v>
      </c>
      <c r="V59" s="602">
        <f t="shared" si="26"/>
        <v>1.3063088718510403</v>
      </c>
      <c r="W59" s="602">
        <f t="shared" si="26"/>
        <v>25.956882316660352</v>
      </c>
    </row>
    <row r="60" spans="2:23" hidden="1">
      <c r="B60" s="381">
        <v>3.6345699432892249</v>
      </c>
      <c r="C60" s="336">
        <v>288</v>
      </c>
      <c r="D60" s="602">
        <f t="shared" ref="D60:W60" si="27">D32/10</f>
        <v>1.2662722652136087</v>
      </c>
      <c r="E60" s="602">
        <f t="shared" si="27"/>
        <v>1.745422222222222</v>
      </c>
      <c r="F60" s="602">
        <f t="shared" si="27"/>
        <v>3.2423554791244795</v>
      </c>
      <c r="G60" s="602">
        <f t="shared" si="27"/>
        <v>0.38154729164175538</v>
      </c>
      <c r="H60" s="602">
        <f t="shared" si="27"/>
        <v>4.7701456865191645</v>
      </c>
      <c r="I60" s="602">
        <f t="shared" si="27"/>
        <v>1.4533083184555333</v>
      </c>
      <c r="J60" s="602">
        <f t="shared" si="27"/>
        <v>0.67983419511986665</v>
      </c>
      <c r="K60" s="602">
        <f t="shared" si="27"/>
        <v>1.1633604206500956</v>
      </c>
      <c r="L60" s="602">
        <f t="shared" si="27"/>
        <v>2.010617577568806</v>
      </c>
      <c r="M60" s="602">
        <f t="shared" si="27"/>
        <v>1.5594983457721012</v>
      </c>
      <c r="N60" s="602">
        <f t="shared" si="27"/>
        <v>0.4134435206850201</v>
      </c>
      <c r="O60" s="602">
        <f t="shared" si="27"/>
        <v>0.79499081232677538</v>
      </c>
      <c r="P60" s="602">
        <f t="shared" si="27"/>
        <v>1.2626832292097139</v>
      </c>
      <c r="Q60" s="602">
        <f t="shared" si="27"/>
        <v>2.2374419767294351</v>
      </c>
      <c r="R60" s="602">
        <f t="shared" si="27"/>
        <v>1.3951504184573627</v>
      </c>
      <c r="S60" s="602">
        <f t="shared" si="27"/>
        <v>1.2597622874957377</v>
      </c>
      <c r="T60" s="602">
        <f t="shared" si="27"/>
        <v>0.92353828788688885</v>
      </c>
      <c r="U60" s="602">
        <f t="shared" si="27"/>
        <v>0.97475874751972147</v>
      </c>
      <c r="V60" s="602">
        <f t="shared" si="27"/>
        <v>1.3041621029572836</v>
      </c>
      <c r="W60" s="602">
        <f t="shared" si="27"/>
        <v>28.838293185555575</v>
      </c>
    </row>
    <row r="61" spans="2:23" hidden="1">
      <c r="B61" s="381">
        <v>3.5651234567901233</v>
      </c>
      <c r="C61" s="336">
        <v>289</v>
      </c>
      <c r="D61" s="602">
        <f t="shared" ref="D61:W61" si="28">D33/10</f>
        <v>1.8703328907001235</v>
      </c>
      <c r="E61" s="602">
        <f t="shared" si="28"/>
        <v>1.2721777777777779</v>
      </c>
      <c r="F61" s="602">
        <f t="shared" si="28"/>
        <v>2.4767331820540734</v>
      </c>
      <c r="G61" s="602">
        <f t="shared" si="28"/>
        <v>0.42207341862967829</v>
      </c>
      <c r="H61" s="602">
        <f t="shared" si="28"/>
        <v>4.9170131627506457</v>
      </c>
      <c r="I61" s="602">
        <f t="shared" si="28"/>
        <v>1.2897993766453841</v>
      </c>
      <c r="J61" s="602">
        <f t="shared" si="28"/>
        <v>0.55022776804410067</v>
      </c>
      <c r="K61" s="602">
        <f t="shared" si="28"/>
        <v>1.0016730401529634</v>
      </c>
      <c r="L61" s="602">
        <f t="shared" si="28"/>
        <v>2.9784077858271654</v>
      </c>
      <c r="M61" s="602">
        <f t="shared" si="28"/>
        <v>0.98373470800954066</v>
      </c>
      <c r="N61" s="602">
        <f t="shared" si="28"/>
        <v>0.53937272863045749</v>
      </c>
      <c r="O61" s="602">
        <f t="shared" si="28"/>
        <v>0.96144614726013577</v>
      </c>
      <c r="P61" s="602">
        <f t="shared" si="28"/>
        <v>1.3034348639910542</v>
      </c>
      <c r="Q61" s="602">
        <f t="shared" si="28"/>
        <v>2.2076675504354233</v>
      </c>
      <c r="R61" s="602">
        <f t="shared" si="28"/>
        <v>1.8554452920976334</v>
      </c>
      <c r="S61" s="602">
        <f t="shared" si="28"/>
        <v>1.1966038287300891</v>
      </c>
      <c r="T61" s="602">
        <f t="shared" si="28"/>
        <v>0.76693518683538298</v>
      </c>
      <c r="U61" s="602">
        <f t="shared" si="28"/>
        <v>0.90423268644436927</v>
      </c>
      <c r="V61" s="602">
        <f t="shared" si="28"/>
        <v>1.2078641840087623</v>
      </c>
      <c r="W61" s="602">
        <f t="shared" si="28"/>
        <v>28.705175579024761</v>
      </c>
    </row>
    <row r="62" spans="2:23" hidden="1">
      <c r="B62" s="381">
        <v>3.7024691358024691</v>
      </c>
      <c r="C62" s="336">
        <v>290</v>
      </c>
      <c r="D62" s="602">
        <f t="shared" ref="D62:W62" si="29">D34/10</f>
        <v>1.1235569394203031</v>
      </c>
      <c r="E62" s="602">
        <f t="shared" si="29"/>
        <v>1.0122666666666666</v>
      </c>
      <c r="F62" s="602">
        <f t="shared" si="29"/>
        <v>2.1018591067739867</v>
      </c>
      <c r="G62" s="602">
        <f t="shared" si="29"/>
        <v>0.33907449479851726</v>
      </c>
      <c r="H62" s="602">
        <f t="shared" si="29"/>
        <v>4.06879074916964</v>
      </c>
      <c r="I62" s="602">
        <f t="shared" si="29"/>
        <v>1.3190885708233728</v>
      </c>
      <c r="J62" s="602">
        <f t="shared" si="29"/>
        <v>0.44439468398786375</v>
      </c>
      <c r="K62" s="602">
        <f t="shared" si="29"/>
        <v>0.72861854684512417</v>
      </c>
      <c r="L62" s="602">
        <f t="shared" si="29"/>
        <v>2.0944826399211403</v>
      </c>
      <c r="M62" s="602">
        <f t="shared" si="29"/>
        <v>0.87946449180580133</v>
      </c>
      <c r="N62" s="602">
        <f t="shared" si="29"/>
        <v>0.40856573903519688</v>
      </c>
      <c r="O62" s="602">
        <f t="shared" si="29"/>
        <v>0.74764023383371414</v>
      </c>
      <c r="P62" s="602">
        <f t="shared" si="29"/>
        <v>0.97235870384325529</v>
      </c>
      <c r="Q62" s="602">
        <f t="shared" si="29"/>
        <v>1.6021530221900591</v>
      </c>
      <c r="R62" s="602">
        <f t="shared" si="29"/>
        <v>1.3933671937652938</v>
      </c>
      <c r="S62" s="602">
        <f t="shared" si="29"/>
        <v>0.91815626674460504</v>
      </c>
      <c r="T62" s="602">
        <f t="shared" si="29"/>
        <v>0.66445315748826705</v>
      </c>
      <c r="U62" s="602">
        <f t="shared" si="29"/>
        <v>0.62979431834680355</v>
      </c>
      <c r="V62" s="602">
        <f t="shared" si="29"/>
        <v>0.92479737130339523</v>
      </c>
      <c r="W62" s="602">
        <f t="shared" si="29"/>
        <v>22.372882896763009</v>
      </c>
    </row>
    <row r="63" spans="2:23" hidden="1">
      <c r="B63" s="168">
        <v>3.495987654320988</v>
      </c>
      <c r="C63" s="469">
        <v>291</v>
      </c>
      <c r="D63" s="602">
        <f t="shared" ref="D63:W63" si="30">D19/10</f>
        <v>1.5586977425706305</v>
      </c>
      <c r="E63" s="602">
        <f t="shared" si="30"/>
        <v>1.6378074074074074</v>
      </c>
      <c r="F63" s="602">
        <f t="shared" si="30"/>
        <v>2.4184872752434545</v>
      </c>
      <c r="G63" s="602">
        <f t="shared" si="30"/>
        <v>0.30102594762644985</v>
      </c>
      <c r="H63" s="602">
        <f t="shared" si="30"/>
        <v>3.3628947507161309</v>
      </c>
      <c r="I63" s="602">
        <f t="shared" si="30"/>
        <v>2.8106878082730664</v>
      </c>
      <c r="J63" s="602">
        <f t="shared" si="30"/>
        <v>0.4708790222640058</v>
      </c>
      <c r="K63" s="602">
        <f t="shared" si="30"/>
        <v>0.89109464627151047</v>
      </c>
      <c r="L63" s="602">
        <f t="shared" si="30"/>
        <v>2.0869158673780719</v>
      </c>
      <c r="M63" s="602">
        <f t="shared" si="30"/>
        <v>1.2480418558128801</v>
      </c>
      <c r="N63" s="602">
        <f t="shared" si="30"/>
        <v>0.44236670483397217</v>
      </c>
      <c r="O63" s="602">
        <f t="shared" si="30"/>
        <v>0.74339265246042197</v>
      </c>
      <c r="P63" s="602">
        <f t="shared" si="30"/>
        <v>0.9306191506429734</v>
      </c>
      <c r="Q63" s="602">
        <f t="shared" si="30"/>
        <v>1.5072633939764681</v>
      </c>
      <c r="R63" s="602">
        <f t="shared" si="30"/>
        <v>2.0596245193395162</v>
      </c>
      <c r="S63" s="602">
        <f t="shared" si="30"/>
        <v>1.0587559062789222</v>
      </c>
      <c r="T63" s="602">
        <f t="shared" si="30"/>
        <v>0.76753519871680631</v>
      </c>
      <c r="U63" s="602">
        <f t="shared" si="30"/>
        <v>0.57664424333349473</v>
      </c>
      <c r="V63" s="602">
        <f t="shared" si="30"/>
        <v>1.2343921139101863</v>
      </c>
      <c r="W63" s="602">
        <f t="shared" si="30"/>
        <v>26.107126207056371</v>
      </c>
    </row>
    <row r="64" spans="2:23" hidden="1">
      <c r="B64" s="168">
        <v>3.5113580246913583</v>
      </c>
      <c r="C64" s="468">
        <v>292</v>
      </c>
      <c r="D64" s="602">
        <f t="shared" ref="D64:W64" si="31">D20/10</f>
        <v>1.023958972480425</v>
      </c>
      <c r="E64" s="602">
        <f t="shared" si="31"/>
        <v>1.1102814814814814</v>
      </c>
      <c r="F64" s="602">
        <f t="shared" si="31"/>
        <v>1.8344407924862369</v>
      </c>
      <c r="G64" s="602">
        <f t="shared" si="31"/>
        <v>0.40207581011598703</v>
      </c>
      <c r="H64" s="602">
        <f t="shared" si="31"/>
        <v>3.7251041245628529</v>
      </c>
      <c r="I64" s="602">
        <f t="shared" si="31"/>
        <v>1.828156262293098</v>
      </c>
      <c r="J64" s="602">
        <f t="shared" si="31"/>
        <v>0.34815435237810349</v>
      </c>
      <c r="K64" s="602">
        <f t="shared" si="31"/>
        <v>0.74281548757170168</v>
      </c>
      <c r="L64" s="602">
        <f t="shared" si="31"/>
        <v>1.6001201671073837</v>
      </c>
      <c r="M64" s="602">
        <f t="shared" si="31"/>
        <v>0.85324305608986695</v>
      </c>
      <c r="N64" s="602">
        <f t="shared" si="31"/>
        <v>0.53559416538059446</v>
      </c>
      <c r="O64" s="602">
        <f t="shared" si="31"/>
        <v>0.93766997549658149</v>
      </c>
      <c r="P64" s="602">
        <f t="shared" si="31"/>
        <v>0.84491722779979084</v>
      </c>
      <c r="Q64" s="602">
        <f t="shared" si="31"/>
        <v>1.3184980243927349</v>
      </c>
      <c r="R64" s="602">
        <f t="shared" si="31"/>
        <v>1.7482289074869939</v>
      </c>
      <c r="S64" s="602">
        <f t="shared" si="31"/>
        <v>1.1812728335525353</v>
      </c>
      <c r="T64" s="602">
        <f t="shared" si="31"/>
        <v>0.70057387274995553</v>
      </c>
      <c r="U64" s="602">
        <f t="shared" si="31"/>
        <v>0.473580796592944</v>
      </c>
      <c r="V64" s="602">
        <f t="shared" si="31"/>
        <v>1.0404162102957284</v>
      </c>
      <c r="W64" s="602">
        <f t="shared" si="31"/>
        <v>22.249102520314995</v>
      </c>
    </row>
    <row r="65" spans="1:30" hidden="1">
      <c r="B65" s="168">
        <v>3.5148148148148151</v>
      </c>
      <c r="C65" s="468">
        <v>293</v>
      </c>
      <c r="D65" s="602">
        <f t="shared" ref="D65:W65" si="32">D21/10</f>
        <v>1.3637822244608269</v>
      </c>
      <c r="E65" s="602">
        <f t="shared" si="32"/>
        <v>1.4044444444444442</v>
      </c>
      <c r="F65" s="602">
        <f t="shared" si="32"/>
        <v>2.4592716208928187</v>
      </c>
      <c r="G65" s="602">
        <f t="shared" si="32"/>
        <v>0.2233361234006935</v>
      </c>
      <c r="H65" s="602">
        <f t="shared" si="32"/>
        <v>2.7995641706061192</v>
      </c>
      <c r="I65" s="602">
        <f t="shared" si="32"/>
        <v>2.3507937180379463</v>
      </c>
      <c r="J65" s="602">
        <f t="shared" si="32"/>
        <v>0.39830776462544332</v>
      </c>
      <c r="K65" s="602">
        <f t="shared" si="32"/>
        <v>0.74770554493307839</v>
      </c>
      <c r="L65" s="602">
        <f t="shared" si="32"/>
        <v>1.5605207241319958</v>
      </c>
      <c r="M65" s="602">
        <f t="shared" si="32"/>
        <v>1.14401785027314</v>
      </c>
      <c r="N65" s="602">
        <f t="shared" si="32"/>
        <v>0.39139045153581919</v>
      </c>
      <c r="O65" s="602">
        <f t="shared" si="32"/>
        <v>0.61472657493651273</v>
      </c>
      <c r="P65" s="602">
        <f t="shared" si="32"/>
        <v>0.8645521063762549</v>
      </c>
      <c r="Q65" s="602">
        <f t="shared" si="32"/>
        <v>1.3812321625152475</v>
      </c>
      <c r="R65" s="602">
        <f t="shared" si="32"/>
        <v>1.7750887294112812</v>
      </c>
      <c r="S65" s="602">
        <f t="shared" si="32"/>
        <v>1.1331833016708068</v>
      </c>
      <c r="T65" s="602">
        <f t="shared" si="32"/>
        <v>0.8203362442820652</v>
      </c>
      <c r="U65" s="602">
        <f t="shared" si="32"/>
        <v>0.51668005613899248</v>
      </c>
      <c r="V65" s="602">
        <f t="shared" si="32"/>
        <v>1.1460679079956186</v>
      </c>
      <c r="W65" s="602">
        <f t="shared" si="32"/>
        <v>23.095001720669099</v>
      </c>
    </row>
    <row r="66" spans="1:30" hidden="1">
      <c r="B66" s="168">
        <v>3.5342592592592599</v>
      </c>
      <c r="C66" s="468">
        <v>294</v>
      </c>
      <c r="D66" s="602">
        <f t="shared" ref="D66:W66" si="33">D22/10</f>
        <v>1.3989651540821466</v>
      </c>
      <c r="E66" s="602">
        <f t="shared" si="33"/>
        <v>1.4492444444444443</v>
      </c>
      <c r="F66" s="602">
        <f t="shared" si="33"/>
        <v>2.0521608173150305</v>
      </c>
      <c r="G66" s="602">
        <f t="shared" si="33"/>
        <v>0.19148152576826499</v>
      </c>
      <c r="H66" s="602">
        <f t="shared" si="33"/>
        <v>3.4017327733159939</v>
      </c>
      <c r="I66" s="602">
        <f t="shared" si="33"/>
        <v>2.6642418373831211</v>
      </c>
      <c r="J66" s="602">
        <f t="shared" si="33"/>
        <v>0.41874449809837183</v>
      </c>
      <c r="K66" s="602">
        <f t="shared" si="33"/>
        <v>0.74865200764818363</v>
      </c>
      <c r="L66" s="602">
        <f t="shared" si="33"/>
        <v>1.5133545086135405</v>
      </c>
      <c r="M66" s="602">
        <f t="shared" si="33"/>
        <v>0.93720089251365712</v>
      </c>
      <c r="N66" s="602">
        <f t="shared" si="33"/>
        <v>0.3755204858863942</v>
      </c>
      <c r="O66" s="602">
        <f t="shared" si="33"/>
        <v>0.56700201165465924</v>
      </c>
      <c r="P66" s="602">
        <f t="shared" si="33"/>
        <v>0.80428908282081824</v>
      </c>
      <c r="Q66" s="602">
        <f t="shared" si="33"/>
        <v>1.2725889424733374</v>
      </c>
      <c r="R66" s="602">
        <f t="shared" si="33"/>
        <v>1.9218704118771979</v>
      </c>
      <c r="S66" s="602">
        <f t="shared" si="33"/>
        <v>0.99389400360465674</v>
      </c>
      <c r="T66" s="602">
        <f t="shared" si="33"/>
        <v>0.67837343313728993</v>
      </c>
      <c r="U66" s="602">
        <f t="shared" si="33"/>
        <v>0.46829985965251908</v>
      </c>
      <c r="V66" s="602">
        <f t="shared" si="33"/>
        <v>1.0401095290251916</v>
      </c>
      <c r="W66" s="602">
        <f t="shared" si="33"/>
        <v>22.897726219314819</v>
      </c>
    </row>
    <row r="67" spans="1:30" hidden="1">
      <c r="B67" s="485">
        <v>4.1586419753086421</v>
      </c>
      <c r="C67" s="498">
        <v>300</v>
      </c>
      <c r="D67" s="602">
        <f t="shared" ref="D67:W67" si="34">D28/10</f>
        <v>0.69420000000000004</v>
      </c>
      <c r="E67" s="602">
        <f t="shared" si="34"/>
        <v>0.84030000000000005</v>
      </c>
      <c r="F67" s="602">
        <f t="shared" si="34"/>
        <v>1.2715000000000001</v>
      </c>
      <c r="G67" s="602">
        <f t="shared" si="34"/>
        <v>0.23900000000000002</v>
      </c>
      <c r="H67" s="602">
        <f t="shared" si="34"/>
        <v>2.0152000000000001</v>
      </c>
      <c r="I67" s="602">
        <f t="shared" si="34"/>
        <v>0.53079999999999994</v>
      </c>
      <c r="J67" s="602">
        <f t="shared" si="34"/>
        <v>0.24340000000000001</v>
      </c>
      <c r="K67" s="602">
        <f t="shared" si="34"/>
        <v>0.49530000000000002</v>
      </c>
      <c r="L67" s="602">
        <f t="shared" si="34"/>
        <v>1.0009000000000001</v>
      </c>
      <c r="M67" s="602">
        <f t="shared" si="34"/>
        <v>0.66900000000000004</v>
      </c>
      <c r="N67" s="602">
        <f t="shared" si="34"/>
        <v>0.20329999999999998</v>
      </c>
      <c r="O67" s="602">
        <f t="shared" si="34"/>
        <v>0.44230000000000003</v>
      </c>
      <c r="P67" s="602">
        <f t="shared" si="34"/>
        <v>0.57169999999999999</v>
      </c>
      <c r="Q67" s="602">
        <f t="shared" si="34"/>
        <v>0.96739999999999993</v>
      </c>
      <c r="R67" s="602">
        <f t="shared" si="34"/>
        <v>0.54560000000000008</v>
      </c>
      <c r="S67" s="602">
        <f t="shared" si="34"/>
        <v>0.67679999999999996</v>
      </c>
      <c r="T67" s="602">
        <f t="shared" si="34"/>
        <v>0.43920000000000003</v>
      </c>
      <c r="U67" s="602">
        <f t="shared" si="34"/>
        <v>0.3957</v>
      </c>
      <c r="V67" s="602">
        <f t="shared" si="34"/>
        <v>0.61599999999999999</v>
      </c>
      <c r="W67" s="602">
        <f t="shared" si="34"/>
        <v>12.857600000000001</v>
      </c>
    </row>
    <row r="68" spans="1:30" hidden="1">
      <c r="B68" s="485"/>
      <c r="C68" s="498"/>
      <c r="D68" s="602"/>
      <c r="E68" s="602"/>
      <c r="F68" s="602"/>
      <c r="G68" s="602"/>
      <c r="H68" s="602"/>
      <c r="I68" s="602"/>
      <c r="J68" s="602"/>
      <c r="K68" s="602"/>
      <c r="L68" s="602"/>
      <c r="M68" s="602"/>
      <c r="N68" s="602"/>
      <c r="O68" s="602"/>
      <c r="P68" s="602"/>
      <c r="Q68" s="602"/>
      <c r="R68" s="602"/>
      <c r="S68" s="602"/>
      <c r="T68" s="602"/>
      <c r="U68" s="602"/>
      <c r="V68" s="602"/>
      <c r="W68" s="602"/>
    </row>
    <row r="69" spans="1:30" hidden="1">
      <c r="B69" s="485"/>
      <c r="C69" s="498"/>
      <c r="D69" s="602"/>
      <c r="E69" s="602"/>
      <c r="F69" s="602"/>
      <c r="G69" s="602"/>
      <c r="H69" s="602"/>
      <c r="I69" s="602"/>
      <c r="J69" s="602"/>
      <c r="K69" s="602"/>
      <c r="L69" s="602"/>
      <c r="M69" s="602"/>
      <c r="N69" s="602"/>
      <c r="O69" s="602"/>
      <c r="P69" s="602"/>
      <c r="Q69" s="602"/>
      <c r="R69" s="602"/>
      <c r="S69" s="602"/>
      <c r="T69" s="602"/>
      <c r="U69" s="602"/>
      <c r="V69" s="602"/>
      <c r="W69" s="602"/>
    </row>
    <row r="70" spans="1:30" ht="51" customHeight="1">
      <c r="A70" s="2" t="s">
        <v>0</v>
      </c>
      <c r="B70" s="3" t="s">
        <v>126</v>
      </c>
      <c r="C70" s="161" t="s">
        <v>550</v>
      </c>
      <c r="D70" s="162" t="s">
        <v>684</v>
      </c>
      <c r="E70" s="239" t="s">
        <v>685</v>
      </c>
      <c r="F70" s="157" t="s">
        <v>686</v>
      </c>
      <c r="G70" s="157" t="s">
        <v>687</v>
      </c>
      <c r="H70" s="157" t="s">
        <v>688</v>
      </c>
      <c r="I70" s="157" t="s">
        <v>689</v>
      </c>
      <c r="J70" s="239" t="s">
        <v>690</v>
      </c>
      <c r="K70" s="239" t="s">
        <v>691</v>
      </c>
      <c r="L70" s="239" t="s">
        <v>692</v>
      </c>
      <c r="M70" s="239" t="s">
        <v>693</v>
      </c>
      <c r="N70" s="240" t="s">
        <v>694</v>
      </c>
      <c r="O70" s="241" t="s">
        <v>695</v>
      </c>
      <c r="P70" s="239" t="s">
        <v>696</v>
      </c>
      <c r="Q70" s="242" t="s">
        <v>697</v>
      </c>
      <c r="R70" s="157" t="s">
        <v>698</v>
      </c>
      <c r="S70" s="592" t="s">
        <v>566</v>
      </c>
      <c r="T70" s="239" t="s">
        <v>699</v>
      </c>
      <c r="U70" s="157" t="s">
        <v>700</v>
      </c>
      <c r="V70" s="239" t="s">
        <v>701</v>
      </c>
      <c r="W70" s="157" t="s">
        <v>702</v>
      </c>
      <c r="Y70" s="747" t="s">
        <v>662</v>
      </c>
      <c r="Z70" s="747" t="s">
        <v>703</v>
      </c>
      <c r="AC70" s="747"/>
      <c r="AD70" s="747"/>
    </row>
    <row r="71" spans="1:30" ht="18">
      <c r="A71" s="847" t="s">
        <v>472</v>
      </c>
      <c r="B71" s="557"/>
      <c r="C71" s="556"/>
      <c r="D71" s="159"/>
      <c r="E71" s="336">
        <v>1.3</v>
      </c>
      <c r="F71" s="336"/>
      <c r="G71" s="336"/>
      <c r="H71" s="336"/>
      <c r="I71" s="336"/>
      <c r="J71" s="336">
        <v>0.57999999999999996</v>
      </c>
      <c r="K71" s="336">
        <v>1.1499999999999999</v>
      </c>
      <c r="L71" s="336">
        <v>2.0499999999999998</v>
      </c>
      <c r="M71" s="336">
        <v>1.05</v>
      </c>
      <c r="N71" s="336">
        <v>1</v>
      </c>
      <c r="O71" s="336">
        <v>1.91</v>
      </c>
      <c r="P71" s="336">
        <v>1.35</v>
      </c>
      <c r="Q71" s="336">
        <v>2.23</v>
      </c>
      <c r="R71" s="336"/>
      <c r="S71" s="336">
        <f>(S3/10)*2.5</f>
        <v>0</v>
      </c>
      <c r="T71" s="336">
        <v>1.3</v>
      </c>
      <c r="U71" s="336"/>
      <c r="V71" s="336">
        <v>1.48</v>
      </c>
      <c r="W71" s="159"/>
      <c r="AC71" s="747"/>
      <c r="AD71" s="747"/>
    </row>
    <row r="72" spans="1:30" s="336" customFormat="1">
      <c r="A72" s="972" t="s">
        <v>704</v>
      </c>
      <c r="B72" s="168">
        <v>3.899382716049383</v>
      </c>
      <c r="C72" s="467">
        <v>265</v>
      </c>
      <c r="D72" s="325">
        <f t="shared" ref="D72:V72" si="35">D38*2.5*($B$72/4)</f>
        <v>4.6317467476634562</v>
      </c>
      <c r="E72" s="325">
        <f t="shared" si="35"/>
        <v>4.934885459533608</v>
      </c>
      <c r="F72" s="325">
        <f t="shared" si="35"/>
        <v>7.35858550312037</v>
      </c>
      <c r="G72" s="325">
        <f t="shared" si="35"/>
        <v>0.80350457371756556</v>
      </c>
      <c r="H72" s="325">
        <f t="shared" si="35"/>
        <v>10.669543163989488</v>
      </c>
      <c r="I72" s="325">
        <f t="shared" si="35"/>
        <v>5.8503041725645533</v>
      </c>
      <c r="J72" s="325">
        <f t="shared" si="35"/>
        <v>1.6304055487762739</v>
      </c>
      <c r="K72" s="325">
        <f t="shared" si="35"/>
        <v>2.8371643961121737</v>
      </c>
      <c r="L72" s="325">
        <f t="shared" si="35"/>
        <v>5.1893223866870404</v>
      </c>
      <c r="M72" s="325">
        <f t="shared" si="35"/>
        <v>4.6530373580987838</v>
      </c>
      <c r="N72" s="325">
        <f t="shared" si="35"/>
        <v>1.3443159282583725</v>
      </c>
      <c r="O72" s="325">
        <f t="shared" si="35"/>
        <v>2.147820501975938</v>
      </c>
      <c r="P72" s="325">
        <f t="shared" si="35"/>
        <v>4.265522653461657</v>
      </c>
      <c r="Q72" s="325">
        <f t="shared" si="35"/>
        <v>6.3604666309773821</v>
      </c>
      <c r="R72" s="325">
        <f t="shared" si="35"/>
        <v>2.6529000789711277</v>
      </c>
      <c r="S72" s="325">
        <f t="shared" si="35"/>
        <v>2.094943977515725</v>
      </c>
      <c r="T72" s="325">
        <f t="shared" si="35"/>
        <v>3.4938020685435345</v>
      </c>
      <c r="U72" s="325">
        <f t="shared" si="35"/>
        <v>2.094943977515725</v>
      </c>
      <c r="V72" s="325">
        <f t="shared" si="35"/>
        <v>3.4938020685435345</v>
      </c>
      <c r="W72" s="325">
        <f t="shared" ref="W72:W102" si="36">SUM(D72:V72)</f>
        <v>76.507017196026297</v>
      </c>
      <c r="Y72" s="336" t="s">
        <v>211</v>
      </c>
      <c r="Z72" s="336" t="s">
        <v>211</v>
      </c>
    </row>
    <row r="73" spans="1:30" s="325" customFormat="1">
      <c r="A73" s="972"/>
      <c r="B73" s="168">
        <v>3.6053086419753084</v>
      </c>
      <c r="C73" s="467">
        <v>266</v>
      </c>
      <c r="D73" s="325">
        <f t="shared" ref="D73:V73" si="37">D39*2.5*($B$73/4)</f>
        <v>3.3294544083554225</v>
      </c>
      <c r="E73" s="325">
        <f t="shared" si="37"/>
        <v>3.6199969364426146</v>
      </c>
      <c r="F73" s="325">
        <f t="shared" si="37"/>
        <v>5.945716100387016</v>
      </c>
      <c r="G73" s="325">
        <f t="shared" si="37"/>
        <v>0.83063715875188049</v>
      </c>
      <c r="H73" s="325">
        <f t="shared" si="37"/>
        <v>7.7987458091449966</v>
      </c>
      <c r="I73" s="325">
        <f t="shared" si="37"/>
        <v>4.553247238220762</v>
      </c>
      <c r="J73" s="325">
        <f t="shared" si="37"/>
        <v>1.0868847746297641</v>
      </c>
      <c r="K73" s="325">
        <f t="shared" si="37"/>
        <v>2.3626555208112032</v>
      </c>
      <c r="L73" s="325">
        <f t="shared" si="37"/>
        <v>4.6274633686196704</v>
      </c>
      <c r="M73" s="325">
        <f t="shared" si="37"/>
        <v>2.9068269030744984</v>
      </c>
      <c r="N73" s="325">
        <f t="shared" si="37"/>
        <v>1.0573217775823316</v>
      </c>
      <c r="O73" s="848">
        <f t="shared" si="37"/>
        <v>1.887958936334212</v>
      </c>
      <c r="P73" s="325">
        <f t="shared" si="37"/>
        <v>2.2917640389820586</v>
      </c>
      <c r="Q73" s="325">
        <f t="shared" si="37"/>
        <v>3.6329674687422968</v>
      </c>
      <c r="R73" s="325">
        <f t="shared" si="37"/>
        <v>3.5319732939741986</v>
      </c>
      <c r="S73" s="325">
        <f t="shared" si="37"/>
        <v>2.4441754312177473</v>
      </c>
      <c r="T73" s="325">
        <f t="shared" si="37"/>
        <v>1.8909316941919643</v>
      </c>
      <c r="U73" s="325">
        <f t="shared" si="37"/>
        <v>1.3412034297602384</v>
      </c>
      <c r="V73" s="325">
        <f t="shared" si="37"/>
        <v>2.8250140224196447</v>
      </c>
      <c r="W73" s="325">
        <f t="shared" si="36"/>
        <v>57.96493831164252</v>
      </c>
      <c r="Y73" s="325" t="s">
        <v>211</v>
      </c>
      <c r="Z73" s="325" t="s">
        <v>211</v>
      </c>
    </row>
    <row r="74" spans="1:30" s="325" customFormat="1">
      <c r="A74" s="972"/>
      <c r="B74" s="168">
        <v>3.94320987654321</v>
      </c>
      <c r="C74" s="467">
        <v>267</v>
      </c>
      <c r="D74" s="325">
        <f t="shared" ref="D74:V74" si="38">D40*2.5*($B$74/4)</f>
        <v>3.9011127391872851</v>
      </c>
      <c r="E74" s="325">
        <f t="shared" si="38"/>
        <v>3.8649298582533147</v>
      </c>
      <c r="F74" s="325">
        <f t="shared" si="38"/>
        <v>6.6784147410972672</v>
      </c>
      <c r="G74" s="325">
        <f t="shared" si="38"/>
        <v>0.50243745599000889</v>
      </c>
      <c r="H74" s="325">
        <f t="shared" si="38"/>
        <v>9.1449061029349696</v>
      </c>
      <c r="I74" s="325">
        <f t="shared" si="38"/>
        <v>5.4912362527444083</v>
      </c>
      <c r="J74" s="325">
        <f t="shared" si="38"/>
        <v>1.2627589989031807</v>
      </c>
      <c r="K74" s="325">
        <f t="shared" si="38"/>
        <v>2.6439603914382834</v>
      </c>
      <c r="L74" s="325">
        <f t="shared" si="38"/>
        <v>5.0049083848469058</v>
      </c>
      <c r="M74" s="325">
        <f t="shared" si="38"/>
        <v>3.9116569160784502</v>
      </c>
      <c r="N74" s="325">
        <f t="shared" si="38"/>
        <v>1.3750023093985606</v>
      </c>
      <c r="O74" s="848">
        <f t="shared" si="38"/>
        <v>1.8774397653885695</v>
      </c>
      <c r="P74" s="325">
        <f t="shared" si="38"/>
        <v>2.6550742010211583</v>
      </c>
      <c r="Q74" s="325">
        <f t="shared" si="38"/>
        <v>4.5523109987086823</v>
      </c>
      <c r="R74" s="325">
        <f t="shared" si="38"/>
        <v>3.7176992759279952</v>
      </c>
      <c r="S74" s="325">
        <f t="shared" si="38"/>
        <v>2.8095298340378467</v>
      </c>
      <c r="T74" s="325">
        <f t="shared" si="38"/>
        <v>2.2763615579479759</v>
      </c>
      <c r="U74" s="325">
        <f t="shared" si="38"/>
        <v>1.8972367976875233</v>
      </c>
      <c r="V74" s="325">
        <f t="shared" si="38"/>
        <v>3.417808472949035</v>
      </c>
      <c r="W74" s="325">
        <f t="shared" si="36"/>
        <v>66.984785054541433</v>
      </c>
      <c r="Y74" s="468" t="s">
        <v>199</v>
      </c>
      <c r="Z74" s="468" t="s">
        <v>199</v>
      </c>
    </row>
    <row r="75" spans="1:30" s="325" customFormat="1">
      <c r="A75" s="972"/>
      <c r="B75" s="168">
        <v>3.8748765432098766</v>
      </c>
      <c r="C75" s="467">
        <v>268</v>
      </c>
      <c r="D75" s="325">
        <f t="shared" ref="D75:V75" si="39">D41*2.5*($B$75/4)</f>
        <v>4.9978215851102252</v>
      </c>
      <c r="E75" s="325">
        <f t="shared" si="39"/>
        <v>4.9856744855967081</v>
      </c>
      <c r="F75" s="325">
        <f t="shared" si="39"/>
        <v>7.8029437741650138</v>
      </c>
      <c r="G75" s="325">
        <f t="shared" si="39"/>
        <v>1.0556061648309796</v>
      </c>
      <c r="H75" s="325">
        <f t="shared" si="39"/>
        <v>13.137130756466007</v>
      </c>
      <c r="I75" s="325">
        <f t="shared" si="39"/>
        <v>7.7856561093123275</v>
      </c>
      <c r="J75" s="325">
        <f t="shared" si="39"/>
        <v>1.6312698716051492</v>
      </c>
      <c r="K75" s="325">
        <f t="shared" si="39"/>
        <v>3.1826382764366898</v>
      </c>
      <c r="L75" s="325">
        <f t="shared" si="39"/>
        <v>7.7167389394076356</v>
      </c>
      <c r="M75" s="325">
        <f t="shared" si="39"/>
        <v>4.0469011462284277</v>
      </c>
      <c r="N75" s="325">
        <f t="shared" si="39"/>
        <v>1.6692935161445857</v>
      </c>
      <c r="O75" s="325">
        <f t="shared" si="39"/>
        <v>2.724899680975565</v>
      </c>
      <c r="P75" s="325">
        <f t="shared" si="39"/>
        <v>3.5687705273510946</v>
      </c>
      <c r="Q75" s="325">
        <f t="shared" si="39"/>
        <v>5.8300121831287335</v>
      </c>
      <c r="R75" s="325">
        <f t="shared" si="39"/>
        <v>6.2789886002990283</v>
      </c>
      <c r="S75" s="325">
        <f t="shared" si="39"/>
        <v>3.5618041101446969</v>
      </c>
      <c r="T75" s="325">
        <f t="shared" si="39"/>
        <v>2.6266370774302099</v>
      </c>
      <c r="U75" s="325">
        <f t="shared" si="39"/>
        <v>2.2612416557776385</v>
      </c>
      <c r="V75" s="325">
        <f t="shared" si="39"/>
        <v>4.4786018315686986</v>
      </c>
      <c r="W75" s="325">
        <f t="shared" si="36"/>
        <v>89.342630291979404</v>
      </c>
      <c r="Y75" s="468" t="s">
        <v>199</v>
      </c>
      <c r="Z75" s="468" t="s">
        <v>199</v>
      </c>
    </row>
    <row r="76" spans="1:30" s="325" customFormat="1">
      <c r="A76" s="972"/>
      <c r="B76" s="168">
        <v>3.8876543209876546</v>
      </c>
      <c r="C76" s="467">
        <v>269</v>
      </c>
      <c r="D76" s="325">
        <f t="shared" ref="D76:V76" si="40">D42*2.5*($B$76/4)</f>
        <v>4.2748532272370365</v>
      </c>
      <c r="E76" s="325">
        <f t="shared" si="40"/>
        <v>4.1580622770919069</v>
      </c>
      <c r="F76" s="325">
        <f t="shared" si="40"/>
        <v>6.6988485590593996</v>
      </c>
      <c r="G76" s="325">
        <f t="shared" si="40"/>
        <v>0.6798281562083428</v>
      </c>
      <c r="H76" s="325">
        <f t="shared" si="40"/>
        <v>11.858428562533211</v>
      </c>
      <c r="I76" s="325">
        <f t="shared" si="40"/>
        <v>5.5421660984523733</v>
      </c>
      <c r="J76" s="325">
        <f t="shared" si="40"/>
        <v>1.3670833999391181</v>
      </c>
      <c r="K76" s="325">
        <f t="shared" si="40"/>
        <v>2.4564627925607252</v>
      </c>
      <c r="L76" s="325">
        <f t="shared" si="40"/>
        <v>5.377488149270464</v>
      </c>
      <c r="M76" s="325">
        <f t="shared" si="40"/>
        <v>3.8272322102821454</v>
      </c>
      <c r="N76" s="325">
        <f t="shared" si="40"/>
        <v>1.353793797905039</v>
      </c>
      <c r="O76" s="325">
        <f t="shared" si="40"/>
        <v>2.0336219541133818</v>
      </c>
      <c r="P76" s="325">
        <f t="shared" si="40"/>
        <v>3.0038359875177703</v>
      </c>
      <c r="Q76" s="325">
        <f t="shared" si="40"/>
        <v>5.0626766061938451</v>
      </c>
      <c r="R76" s="325">
        <f t="shared" si="40"/>
        <v>4.8809563553806949</v>
      </c>
      <c r="S76" s="325">
        <f t="shared" si="40"/>
        <v>2.8718296956007423</v>
      </c>
      <c r="T76" s="325">
        <f t="shared" si="40"/>
        <v>2.2404995515129382</v>
      </c>
      <c r="U76" s="325">
        <f t="shared" si="40"/>
        <v>2.0588406186760739</v>
      </c>
      <c r="V76" s="325">
        <f t="shared" si="40"/>
        <v>3.3927555001149377</v>
      </c>
      <c r="W76" s="325">
        <f t="shared" si="36"/>
        <v>73.139263499650156</v>
      </c>
      <c r="Y76" s="325" t="s">
        <v>211</v>
      </c>
      <c r="Z76" s="325" t="s">
        <v>211</v>
      </c>
    </row>
    <row r="77" spans="1:30" s="325" customFormat="1">
      <c r="A77" s="251"/>
      <c r="B77" s="168">
        <v>3.7285185185185186</v>
      </c>
      <c r="C77" s="467">
        <v>270</v>
      </c>
      <c r="D77" s="325">
        <f t="shared" ref="D77:V77" si="41">D43*2.5*($B$77/4)</f>
        <v>3.8585275322944166</v>
      </c>
      <c r="E77" s="325">
        <f t="shared" si="41"/>
        <v>3.8815258710562413</v>
      </c>
      <c r="F77" s="325">
        <f t="shared" si="41"/>
        <v>5.860371533042307</v>
      </c>
      <c r="G77" s="325">
        <f t="shared" si="41"/>
        <v>0.85531225061005034</v>
      </c>
      <c r="H77" s="325">
        <f t="shared" si="41"/>
        <v>8.6751302704212048</v>
      </c>
      <c r="I77" s="325">
        <f t="shared" si="41"/>
        <v>5.842546322073277</v>
      </c>
      <c r="J77" s="325">
        <f t="shared" si="41"/>
        <v>1.2673871930132774</v>
      </c>
      <c r="K77" s="325">
        <f t="shared" si="41"/>
        <v>2.6213138244901213</v>
      </c>
      <c r="L77" s="325">
        <f t="shared" si="41"/>
        <v>6.0066924257952454</v>
      </c>
      <c r="M77" s="325">
        <f t="shared" si="41"/>
        <v>3.3030824207295701</v>
      </c>
      <c r="N77" s="325">
        <f t="shared" si="41"/>
        <v>1.2866910999651515</v>
      </c>
      <c r="O77" s="325">
        <f t="shared" si="41"/>
        <v>2.1420033505752021</v>
      </c>
      <c r="P77" s="325">
        <f t="shared" si="41"/>
        <v>2.4431779919672203</v>
      </c>
      <c r="Q77" s="325">
        <f t="shared" si="41"/>
        <v>4.2529972358832557</v>
      </c>
      <c r="R77" s="325">
        <f t="shared" si="41"/>
        <v>4.3575522001664844</v>
      </c>
      <c r="S77" s="325">
        <f t="shared" si="41"/>
        <v>2.9069512956377874</v>
      </c>
      <c r="T77" s="325">
        <f t="shared" si="41"/>
        <v>2.2447058107311255</v>
      </c>
      <c r="U77" s="325">
        <f t="shared" si="41"/>
        <v>1.8098192439160357</v>
      </c>
      <c r="V77" s="325">
        <f t="shared" si="41"/>
        <v>2.9337069997160361</v>
      </c>
      <c r="W77" s="325">
        <f t="shared" si="36"/>
        <v>66.549494872084026</v>
      </c>
      <c r="Y77" s="325" t="s">
        <v>211</v>
      </c>
      <c r="Z77" s="325" t="s">
        <v>211</v>
      </c>
    </row>
    <row r="78" spans="1:30" s="325" customFormat="1">
      <c r="A78" s="251"/>
      <c r="B78" s="168">
        <v>3.8925925925925928</v>
      </c>
      <c r="C78" s="468">
        <v>271</v>
      </c>
      <c r="D78" s="325">
        <f t="shared" ref="D78:V78" si="42">D44*2.5*($B$78/4)</f>
        <v>3.2038626870379705</v>
      </c>
      <c r="E78" s="325">
        <f t="shared" si="42"/>
        <v>2.6997292181069956</v>
      </c>
      <c r="F78" s="325">
        <f t="shared" si="42"/>
        <v>5.5775817818164137</v>
      </c>
      <c r="G78" s="325">
        <f t="shared" si="42"/>
        <v>0.50718205410959205</v>
      </c>
      <c r="H78" s="325">
        <f t="shared" si="42"/>
        <v>6.3836007962868591</v>
      </c>
      <c r="I78" s="325">
        <f t="shared" si="42"/>
        <v>4.0613114570830113</v>
      </c>
      <c r="J78" s="325">
        <f t="shared" si="42"/>
        <v>1.1514221020944024</v>
      </c>
      <c r="K78" s="325">
        <f t="shared" si="42"/>
        <v>1.8255947591353303</v>
      </c>
      <c r="L78" s="325">
        <f t="shared" si="42"/>
        <v>4.0039524364611205</v>
      </c>
      <c r="M78" s="325">
        <f t="shared" si="42"/>
        <v>3.1123968779119973</v>
      </c>
      <c r="N78" s="325">
        <f t="shared" si="42"/>
        <v>1.0269142563183487</v>
      </c>
      <c r="O78" s="848">
        <f t="shared" si="42"/>
        <v>1.5340963104279406</v>
      </c>
      <c r="P78" s="325">
        <f t="shared" si="42"/>
        <v>2.1243736309297119</v>
      </c>
      <c r="Q78" s="325">
        <f t="shared" si="42"/>
        <v>2.953680658520629</v>
      </c>
      <c r="R78" s="325">
        <f t="shared" si="42"/>
        <v>2.6488365798145832</v>
      </c>
      <c r="S78" s="325">
        <f t="shared" si="42"/>
        <v>2.0217604296902483</v>
      </c>
      <c r="T78" s="325">
        <f t="shared" si="42"/>
        <v>1.7438186977299881</v>
      </c>
      <c r="U78" s="325">
        <f t="shared" si="42"/>
        <v>0.82930702759091679</v>
      </c>
      <c r="V78" s="325">
        <f t="shared" si="42"/>
        <v>2.5964829013021782</v>
      </c>
      <c r="W78" s="325">
        <f t="shared" si="36"/>
        <v>50.005904662368238</v>
      </c>
      <c r="Y78" s="325" t="s">
        <v>211</v>
      </c>
      <c r="Z78" s="325" t="s">
        <v>211</v>
      </c>
    </row>
    <row r="79" spans="1:30" s="325" customFormat="1">
      <c r="A79" s="251"/>
      <c r="B79" s="168">
        <v>3.7620370370370373</v>
      </c>
      <c r="C79" s="468">
        <v>272</v>
      </c>
      <c r="D79" s="325">
        <f t="shared" ref="D79:V79" si="43">D45*2.5*($B$79/4)</f>
        <v>2.704079265970182</v>
      </c>
      <c r="E79" s="325">
        <f t="shared" si="43"/>
        <v>2.9039433828333081</v>
      </c>
      <c r="F79" s="325">
        <f t="shared" si="43"/>
        <v>2.8865723118825284</v>
      </c>
      <c r="G79" s="325">
        <f t="shared" si="43"/>
        <v>0.68926582240635903</v>
      </c>
      <c r="H79" s="325">
        <f t="shared" si="43"/>
        <v>7.5083019998740861</v>
      </c>
      <c r="I79" s="325">
        <f t="shared" si="43"/>
        <v>4.2065659722222213</v>
      </c>
      <c r="J79" s="325">
        <f t="shared" si="43"/>
        <v>1.0951039049413736</v>
      </c>
      <c r="K79" s="325">
        <f t="shared" si="43"/>
        <v>1.6028333095899416</v>
      </c>
      <c r="L79" s="325">
        <f t="shared" si="43"/>
        <v>2.9673830777473089</v>
      </c>
      <c r="M79" s="325">
        <f t="shared" si="43"/>
        <v>2.3963454768666432</v>
      </c>
      <c r="N79" s="325">
        <f t="shared" si="43"/>
        <v>1.2360607197929361</v>
      </c>
      <c r="O79" s="325">
        <f t="shared" si="43"/>
        <v>1.9253265421992953</v>
      </c>
      <c r="P79" s="325">
        <f t="shared" si="43"/>
        <v>1.8773477545319583</v>
      </c>
      <c r="Q79" s="325">
        <f t="shared" si="43"/>
        <v>3.0370994732238943</v>
      </c>
      <c r="R79" s="325">
        <f t="shared" si="43"/>
        <v>3.9493981187120935</v>
      </c>
      <c r="S79" s="325">
        <f t="shared" si="43"/>
        <v>3.4877442294973551</v>
      </c>
      <c r="T79" s="325">
        <f t="shared" si="43"/>
        <v>1.6795727712518445</v>
      </c>
      <c r="U79" s="325">
        <f t="shared" si="43"/>
        <v>1.1597517186919359</v>
      </c>
      <c r="V79" s="325">
        <f t="shared" si="43"/>
        <v>2.2397547471533152</v>
      </c>
      <c r="W79" s="325">
        <f t="shared" si="36"/>
        <v>49.552450599388578</v>
      </c>
      <c r="Y79" s="468" t="s">
        <v>199</v>
      </c>
      <c r="Z79" s="849" t="s">
        <v>211</v>
      </c>
    </row>
    <row r="80" spans="1:30" s="325" customFormat="1">
      <c r="A80" s="251"/>
      <c r="B80" s="168">
        <v>3.5370370370370376</v>
      </c>
      <c r="C80" s="468">
        <v>273</v>
      </c>
      <c r="D80" s="325">
        <f t="shared" ref="D80:V80" si="44">D46*2.5*($B$80/4)</f>
        <v>2.3922807160735662</v>
      </c>
      <c r="E80" s="325">
        <f t="shared" si="44"/>
        <v>2.6127747329898336</v>
      </c>
      <c r="F80" s="325">
        <f t="shared" si="44"/>
        <v>2.6744930361507175</v>
      </c>
      <c r="G80" s="325">
        <f t="shared" si="44"/>
        <v>0.72966251703756146</v>
      </c>
      <c r="H80" s="325">
        <f t="shared" si="44"/>
        <v>6.8989811068698081</v>
      </c>
      <c r="I80" s="325">
        <f t="shared" si="44"/>
        <v>3.7439129747811077</v>
      </c>
      <c r="J80" s="325">
        <f t="shared" si="44"/>
        <v>1.0640876119431582</v>
      </c>
      <c r="K80" s="325">
        <f t="shared" si="44"/>
        <v>1.4668241550196091</v>
      </c>
      <c r="L80" s="325">
        <f t="shared" si="44"/>
        <v>2.570858251979617</v>
      </c>
      <c r="M80" s="325">
        <f t="shared" si="44"/>
        <v>2.2374866879659217</v>
      </c>
      <c r="N80" s="848">
        <f t="shared" si="44"/>
        <v>0.73845942103350237</v>
      </c>
      <c r="O80" s="848">
        <f t="shared" si="44"/>
        <v>1.4681219380710637</v>
      </c>
      <c r="P80" s="325">
        <f t="shared" si="44"/>
        <v>1.5829627082509832</v>
      </c>
      <c r="Q80" s="325">
        <f t="shared" si="44"/>
        <v>2.640229213887054</v>
      </c>
      <c r="R80" s="325">
        <f t="shared" si="44"/>
        <v>3.3390148797658115</v>
      </c>
      <c r="S80" s="325">
        <f t="shared" si="44"/>
        <v>1.4866608796296299</v>
      </c>
      <c r="T80" s="325">
        <f t="shared" si="44"/>
        <v>1.3138814526349643</v>
      </c>
      <c r="U80" s="325">
        <f t="shared" si="44"/>
        <v>1.0572665056360711</v>
      </c>
      <c r="V80" s="325">
        <f t="shared" si="44"/>
        <v>1.8945144313058992</v>
      </c>
      <c r="W80" s="325">
        <f t="shared" si="36"/>
        <v>41.912473221025891</v>
      </c>
      <c r="Y80" s="325" t="s">
        <v>211</v>
      </c>
      <c r="Z80" s="325" t="s">
        <v>211</v>
      </c>
    </row>
    <row r="81" spans="1:26" s="325" customFormat="1">
      <c r="A81" s="251"/>
      <c r="B81" s="168">
        <v>3.9492592592592586</v>
      </c>
      <c r="C81" s="469">
        <v>274</v>
      </c>
      <c r="D81" s="325">
        <f t="shared" ref="D81:V81" si="45">D47*2.5*($B$81/4)</f>
        <v>3.5935116484383496</v>
      </c>
      <c r="E81" s="325">
        <f t="shared" si="45"/>
        <v>2.8437487791287168</v>
      </c>
      <c r="F81" s="325">
        <f t="shared" si="45"/>
        <v>3.4549298241424049</v>
      </c>
      <c r="G81" s="325">
        <f t="shared" si="45"/>
        <v>0.62274025992110282</v>
      </c>
      <c r="H81" s="325">
        <f t="shared" si="45"/>
        <v>9.4824296802344179</v>
      </c>
      <c r="I81" s="325">
        <f t="shared" si="45"/>
        <v>3.6985760829017127</v>
      </c>
      <c r="J81" s="325">
        <f t="shared" si="45"/>
        <v>1.3434288788030562</v>
      </c>
      <c r="K81" s="325">
        <f t="shared" si="45"/>
        <v>1.8051706373579377</v>
      </c>
      <c r="L81" s="325">
        <f t="shared" si="45"/>
        <v>3.8530595477775389</v>
      </c>
      <c r="M81" s="325">
        <f t="shared" si="45"/>
        <v>3.2198134096556621</v>
      </c>
      <c r="N81" s="325">
        <f t="shared" si="45"/>
        <v>1.2882349579351333</v>
      </c>
      <c r="O81" s="325">
        <f t="shared" si="45"/>
        <v>1.9109752178562363</v>
      </c>
      <c r="P81" s="325">
        <f t="shared" si="45"/>
        <v>2.4241143582100753</v>
      </c>
      <c r="Q81" s="325">
        <f t="shared" si="45"/>
        <v>4.1061818052557832</v>
      </c>
      <c r="R81" s="325">
        <f t="shared" si="45"/>
        <v>3.6746167047829328</v>
      </c>
      <c r="S81" s="325">
        <f t="shared" si="45"/>
        <v>2.9072366253306874</v>
      </c>
      <c r="T81" s="325">
        <f t="shared" si="45"/>
        <v>1.8163794024041915</v>
      </c>
      <c r="U81" s="325">
        <f t="shared" si="45"/>
        <v>1.6820674470457075</v>
      </c>
      <c r="V81" s="325">
        <f t="shared" si="45"/>
        <v>2.3995027482461846</v>
      </c>
      <c r="W81" s="325">
        <f t="shared" si="36"/>
        <v>56.126718015427841</v>
      </c>
      <c r="Y81" s="468" t="s">
        <v>199</v>
      </c>
      <c r="Z81" s="468" t="s">
        <v>199</v>
      </c>
    </row>
    <row r="82" spans="1:26" s="325" customFormat="1">
      <c r="A82" s="251"/>
      <c r="B82" s="168">
        <v>3.492283950617284</v>
      </c>
      <c r="C82" s="469">
        <v>275</v>
      </c>
      <c r="D82" s="325">
        <f t="shared" ref="D82:V82" si="46">D48*2.5*($B$82/4)</f>
        <v>2.1129429548917185</v>
      </c>
      <c r="E82" s="325">
        <f t="shared" si="46"/>
        <v>2.6276726020324199</v>
      </c>
      <c r="F82" s="325">
        <f t="shared" si="46"/>
        <v>4.0310019663569863</v>
      </c>
      <c r="G82" s="325">
        <f t="shared" si="46"/>
        <v>0.58840381327378932</v>
      </c>
      <c r="H82" s="325">
        <f t="shared" si="46"/>
        <v>5.9950576513099811</v>
      </c>
      <c r="I82" s="325">
        <f t="shared" si="46"/>
        <v>2.5814218769268709</v>
      </c>
      <c r="J82" s="325">
        <f t="shared" si="46"/>
        <v>1.1631838571146398</v>
      </c>
      <c r="K82" s="325">
        <f t="shared" si="46"/>
        <v>1.9615059800646504</v>
      </c>
      <c r="L82" s="325">
        <f t="shared" si="46"/>
        <v>3.113193345109754</v>
      </c>
      <c r="M82" s="325">
        <f t="shared" si="46"/>
        <v>2.9274377046108939</v>
      </c>
      <c r="N82" s="848">
        <f t="shared" si="46"/>
        <v>0.92095801575339054</v>
      </c>
      <c r="O82" s="848">
        <f t="shared" si="46"/>
        <v>1.50936182902718</v>
      </c>
      <c r="P82" s="325">
        <f t="shared" si="46"/>
        <v>2.1021060260002842</v>
      </c>
      <c r="Q82" s="325">
        <f t="shared" si="46"/>
        <v>3.348933155526689</v>
      </c>
      <c r="R82" s="325">
        <f t="shared" si="46"/>
        <v>2.1914698010725129</v>
      </c>
      <c r="S82" s="325">
        <f t="shared" si="46"/>
        <v>1.2665453731261023</v>
      </c>
      <c r="T82" s="325">
        <f t="shared" si="46"/>
        <v>1.6751079744463993</v>
      </c>
      <c r="U82" s="325">
        <f t="shared" si="46"/>
        <v>1.2468271295264046</v>
      </c>
      <c r="V82" s="325">
        <f t="shared" si="46"/>
        <v>2.3617905679373954</v>
      </c>
      <c r="W82" s="325">
        <f t="shared" si="36"/>
        <v>43.724921624108063</v>
      </c>
      <c r="Y82" s="325" t="s">
        <v>211</v>
      </c>
      <c r="Z82" s="325" t="s">
        <v>211</v>
      </c>
    </row>
    <row r="83" spans="1:26" s="325" customFormat="1">
      <c r="A83" s="251"/>
      <c r="B83" s="168">
        <v>3.837530864197531</v>
      </c>
      <c r="C83" s="469">
        <v>276</v>
      </c>
      <c r="D83" s="325">
        <f t="shared" ref="D83:V83" si="47">D49*2.5*($B$83/4)</f>
        <v>4.3925134918333324</v>
      </c>
      <c r="E83" s="325">
        <f t="shared" si="47"/>
        <v>4.1178127480566991</v>
      </c>
      <c r="F83" s="325">
        <f t="shared" si="47"/>
        <v>6.4698514078883056</v>
      </c>
      <c r="G83" s="325">
        <f t="shared" si="47"/>
        <v>0.81665116333999099</v>
      </c>
      <c r="H83" s="325">
        <f t="shared" si="47"/>
        <v>9.3065333186668333</v>
      </c>
      <c r="I83" s="325">
        <f t="shared" si="47"/>
        <v>7.3903096689451289</v>
      </c>
      <c r="J83" s="325">
        <f t="shared" si="47"/>
        <v>1.2404206425704081</v>
      </c>
      <c r="K83" s="325">
        <f t="shared" si="47"/>
        <v>2.3226394155867149</v>
      </c>
      <c r="L83" s="325">
        <f t="shared" si="47"/>
        <v>5.4999262553771233</v>
      </c>
      <c r="M83" s="325">
        <f t="shared" si="47"/>
        <v>3.1542927000247922</v>
      </c>
      <c r="N83" s="325">
        <f t="shared" si="47"/>
        <v>1.1448687874412971</v>
      </c>
      <c r="O83" s="325">
        <f t="shared" si="47"/>
        <v>1.9615199507812882</v>
      </c>
      <c r="P83" s="325">
        <f t="shared" si="47"/>
        <v>2.4932849511883957</v>
      </c>
      <c r="Q83" s="325">
        <f t="shared" si="47"/>
        <v>4.28901093124579</v>
      </c>
      <c r="R83" s="325">
        <f t="shared" si="47"/>
        <v>4.8490344318806962</v>
      </c>
      <c r="S83" s="325">
        <f t="shared" si="47"/>
        <v>2.8800595297588654</v>
      </c>
      <c r="T83" s="325">
        <f t="shared" si="47"/>
        <v>2.3411320627544514</v>
      </c>
      <c r="U83" s="325">
        <f t="shared" si="47"/>
        <v>1.7957259800573937</v>
      </c>
      <c r="V83" s="325">
        <f t="shared" si="47"/>
        <v>3.2758243681797894</v>
      </c>
      <c r="W83" s="325">
        <f t="shared" si="36"/>
        <v>69.741411805577286</v>
      </c>
      <c r="Y83" s="468" t="s">
        <v>199</v>
      </c>
      <c r="Z83" s="468" t="s">
        <v>199</v>
      </c>
    </row>
    <row r="84" spans="1:26" s="325" customFormat="1">
      <c r="A84" s="251"/>
      <c r="B84" s="168">
        <v>3.465740740740741</v>
      </c>
      <c r="C84" s="469">
        <v>277</v>
      </c>
      <c r="D84" s="325">
        <f t="shared" ref="D84:V84" si="48">D50*2.5*($B$84/4)</f>
        <v>3.3921062472335426</v>
      </c>
      <c r="E84" s="325">
        <f t="shared" si="48"/>
        <v>3.5902506858710566</v>
      </c>
      <c r="F84" s="325">
        <f t="shared" si="48"/>
        <v>5.6856585452995443</v>
      </c>
      <c r="G84" s="325">
        <f t="shared" si="48"/>
        <v>0.33771598387518215</v>
      </c>
      <c r="H84" s="325">
        <f t="shared" si="48"/>
        <v>7.0014017030931779</v>
      </c>
      <c r="I84" s="325">
        <f t="shared" si="48"/>
        <v>5.8050318422751435</v>
      </c>
      <c r="J84" s="325">
        <f t="shared" si="48"/>
        <v>1.0457129582148277</v>
      </c>
      <c r="K84" s="325">
        <f t="shared" si="48"/>
        <v>1.9459069852745912</v>
      </c>
      <c r="L84" s="325">
        <f t="shared" si="48"/>
        <v>3.9476025324496393</v>
      </c>
      <c r="M84" s="325">
        <f t="shared" si="48"/>
        <v>2.6815025689689076</v>
      </c>
      <c r="N84" s="848">
        <f t="shared" si="48"/>
        <v>0.92204370018198611</v>
      </c>
      <c r="O84" s="848">
        <f t="shared" si="48"/>
        <v>1.2597596840571681</v>
      </c>
      <c r="P84" s="325">
        <f t="shared" si="48"/>
        <v>2.173354417465938</v>
      </c>
      <c r="Q84" s="325">
        <f t="shared" si="48"/>
        <v>3.5305333255517817</v>
      </c>
      <c r="R84" s="325">
        <f t="shared" si="48"/>
        <v>4.0468203054731147</v>
      </c>
      <c r="S84" s="325">
        <f t="shared" si="48"/>
        <v>2.3296888547907835</v>
      </c>
      <c r="T84" s="325">
        <f t="shared" si="48"/>
        <v>1.8665982817866584</v>
      </c>
      <c r="U84" s="325">
        <f t="shared" si="48"/>
        <v>1.3571789080858434</v>
      </c>
      <c r="V84" s="325">
        <f t="shared" si="48"/>
        <v>2.7541820311549223</v>
      </c>
      <c r="W84" s="325">
        <f t="shared" si="36"/>
        <v>55.673049561103795</v>
      </c>
      <c r="Y84" s="325" t="s">
        <v>211</v>
      </c>
      <c r="Z84" s="325" t="s">
        <v>211</v>
      </c>
    </row>
    <row r="85" spans="1:26" s="325" customFormat="1">
      <c r="A85" s="251"/>
      <c r="B85" s="168">
        <v>3.5858024691358024</v>
      </c>
      <c r="C85" s="469">
        <v>278</v>
      </c>
      <c r="D85" s="325">
        <f t="shared" ref="D85:V85" si="49">D51*2.5*($B$85/4)</f>
        <v>2.9200014245666517</v>
      </c>
      <c r="E85" s="325">
        <f t="shared" si="49"/>
        <v>3.0131365340649285</v>
      </c>
      <c r="F85" s="325">
        <f t="shared" si="49"/>
        <v>4.9737944203807158</v>
      </c>
      <c r="G85" s="325">
        <f t="shared" si="49"/>
        <v>0.60443689354785846</v>
      </c>
      <c r="H85" s="325">
        <f t="shared" si="49"/>
        <v>6.4367432351306952</v>
      </c>
      <c r="I85" s="325">
        <f t="shared" si="49"/>
        <v>4.5891343487782272</v>
      </c>
      <c r="J85" s="325">
        <f t="shared" si="49"/>
        <v>0.86298072692366734</v>
      </c>
      <c r="K85" s="325">
        <f t="shared" si="49"/>
        <v>1.5434848474789316</v>
      </c>
      <c r="L85" s="325">
        <f t="shared" si="49"/>
        <v>2.9557959223677366</v>
      </c>
      <c r="M85" s="325">
        <f t="shared" si="49"/>
        <v>2.1801193437801887</v>
      </c>
      <c r="N85" s="325">
        <f t="shared" si="49"/>
        <v>1.1576851725088459</v>
      </c>
      <c r="O85" s="848">
        <f t="shared" si="49"/>
        <v>1.7621220660567043</v>
      </c>
      <c r="P85" s="325">
        <f t="shared" si="49"/>
        <v>1.7742844719856592</v>
      </c>
      <c r="Q85" s="325">
        <f t="shared" si="49"/>
        <v>2.9822433272903344</v>
      </c>
      <c r="R85" s="325">
        <f t="shared" si="49"/>
        <v>3.2113830415987263</v>
      </c>
      <c r="S85" s="325">
        <f t="shared" si="49"/>
        <v>2.2929293279185297</v>
      </c>
      <c r="T85" s="325">
        <f t="shared" si="49"/>
        <v>1.5517867469689535</v>
      </c>
      <c r="U85" s="325">
        <f t="shared" si="49"/>
        <v>1.2079588553046749</v>
      </c>
      <c r="V85" s="325">
        <f t="shared" si="49"/>
        <v>2.2155487353454215</v>
      </c>
      <c r="W85" s="325">
        <f t="shared" si="36"/>
        <v>48.235569441997448</v>
      </c>
      <c r="Y85" s="468" t="s">
        <v>199</v>
      </c>
      <c r="Z85" s="468" t="s">
        <v>199</v>
      </c>
    </row>
    <row r="86" spans="1:26" s="325" customFormat="1">
      <c r="A86" s="251"/>
      <c r="B86" s="168">
        <v>3.7774691358024688</v>
      </c>
      <c r="C86" s="467">
        <v>286</v>
      </c>
      <c r="D86" s="325">
        <f t="shared" ref="D86:V86" si="50">D59*2.5*($B$86/4)</f>
        <v>3.4719281149252184</v>
      </c>
      <c r="E86" s="325">
        <f t="shared" si="50"/>
        <v>3.938641152263374</v>
      </c>
      <c r="F86" s="325">
        <f t="shared" si="50"/>
        <v>5.5319763755238132</v>
      </c>
      <c r="G86" s="325">
        <f t="shared" si="50"/>
        <v>0.82726709580559865</v>
      </c>
      <c r="H86" s="325">
        <f t="shared" si="50"/>
        <v>8.709461837591066</v>
      </c>
      <c r="I86" s="325">
        <f t="shared" si="50"/>
        <v>5.4761243190114195</v>
      </c>
      <c r="J86" s="325">
        <f t="shared" si="50"/>
        <v>1.191219992774921</v>
      </c>
      <c r="K86" s="325">
        <f t="shared" si="50"/>
        <v>2.0527800129240137</v>
      </c>
      <c r="L86" s="325">
        <f t="shared" si="50"/>
        <v>4.040063705307495</v>
      </c>
      <c r="M86" s="325">
        <f t="shared" si="50"/>
        <v>3.2389102138480195</v>
      </c>
      <c r="N86" s="325">
        <f t="shared" si="50"/>
        <v>1.2933652258508819</v>
      </c>
      <c r="O86" s="325">
        <f t="shared" si="50"/>
        <v>2.1206323216564806</v>
      </c>
      <c r="P86" s="325">
        <f t="shared" si="50"/>
        <v>2.4058650145839091</v>
      </c>
      <c r="Q86" s="325">
        <f t="shared" si="50"/>
        <v>4.0118058445877987</v>
      </c>
      <c r="R86" s="325">
        <f t="shared" si="50"/>
        <v>3.7937791866299273</v>
      </c>
      <c r="S86" s="325">
        <f t="shared" si="50"/>
        <v>2.4962331290115638</v>
      </c>
      <c r="T86" s="325">
        <f t="shared" si="50"/>
        <v>1.9919933574500555</v>
      </c>
      <c r="U86" s="325">
        <f t="shared" si="50"/>
        <v>1.6059408300038895</v>
      </c>
      <c r="V86" s="325">
        <f t="shared" si="50"/>
        <v>3.0840884032764047</v>
      </c>
      <c r="W86" s="325">
        <f>SUM(D86:V86)</f>
        <v>61.282076133025853</v>
      </c>
      <c r="Y86" s="468" t="s">
        <v>199</v>
      </c>
      <c r="Z86" s="325" t="s">
        <v>211</v>
      </c>
    </row>
    <row r="87" spans="1:26" s="353" customFormat="1">
      <c r="A87" s="251"/>
      <c r="B87" s="168">
        <v>3.495987654320988</v>
      </c>
      <c r="C87" s="469">
        <v>291</v>
      </c>
      <c r="D87" s="325">
        <f t="shared" ref="D87:V87" si="51">D63*2.5*($B$87/4)</f>
        <v>3.4057425405280735</v>
      </c>
      <c r="E87" s="325">
        <f t="shared" si="51"/>
        <v>3.5785965477823507</v>
      </c>
      <c r="F87" s="325">
        <f t="shared" si="51"/>
        <v>5.2843760352397009</v>
      </c>
      <c r="G87" s="325">
        <f t="shared" si="51"/>
        <v>0.65773937283271566</v>
      </c>
      <c r="H87" s="325">
        <f t="shared" si="51"/>
        <v>7.3478990820527805</v>
      </c>
      <c r="I87" s="325">
        <f t="shared" si="51"/>
        <v>6.1413311736707223</v>
      </c>
      <c r="J87" s="325">
        <f t="shared" si="51"/>
        <v>1.0288670303210636</v>
      </c>
      <c r="K87" s="325">
        <f t="shared" si="51"/>
        <v>1.9470349263729552</v>
      </c>
      <c r="L87" s="325">
        <f t="shared" si="51"/>
        <v>4.559895067475197</v>
      </c>
      <c r="M87" s="325">
        <f t="shared" si="51"/>
        <v>2.7269618249985519</v>
      </c>
      <c r="N87" s="848">
        <f t="shared" si="51"/>
        <v>0.96656783673888946</v>
      </c>
      <c r="O87" s="848">
        <f t="shared" si="51"/>
        <v>1.6243072095716049</v>
      </c>
      <c r="P87" s="325">
        <f t="shared" si="51"/>
        <v>2.0333956634515742</v>
      </c>
      <c r="Q87" s="325">
        <f t="shared" si="51"/>
        <v>3.2933588857198028</v>
      </c>
      <c r="R87" s="325">
        <f t="shared" si="51"/>
        <v>4.5002636825923421</v>
      </c>
      <c r="S87" s="325">
        <f t="shared" si="51"/>
        <v>2.3133734858065882</v>
      </c>
      <c r="T87" s="325">
        <f t="shared" si="51"/>
        <v>1.6770584868567255</v>
      </c>
      <c r="U87" s="325">
        <f t="shared" si="51"/>
        <v>1.2599632222682282</v>
      </c>
      <c r="V87" s="325">
        <f t="shared" si="51"/>
        <v>2.6971372442632489</v>
      </c>
      <c r="W87" s="325">
        <f>SUM(D87:V87)</f>
        <v>57.043869318543102</v>
      </c>
      <c r="Y87" s="749" t="s">
        <v>199</v>
      </c>
      <c r="Z87" s="749" t="s">
        <v>199</v>
      </c>
    </row>
    <row r="88" spans="1:26" s="353" customFormat="1">
      <c r="A88" s="251"/>
      <c r="B88" s="168">
        <v>3.5113580246913583</v>
      </c>
      <c r="C88" s="468">
        <v>292</v>
      </c>
      <c r="D88" s="325">
        <f t="shared" ref="D88:V88" si="52">D64*2.5*($B$88/4)</f>
        <v>2.2471790968586616</v>
      </c>
      <c r="E88" s="325">
        <f t="shared" si="52"/>
        <v>2.4366223685413808</v>
      </c>
      <c r="F88" s="325">
        <f t="shared" si="52"/>
        <v>4.0258614984485765</v>
      </c>
      <c r="G88" s="325">
        <f t="shared" si="52"/>
        <v>0.88239507649065618</v>
      </c>
      <c r="H88" s="325">
        <f t="shared" si="52"/>
        <v>8.1751089128716572</v>
      </c>
      <c r="I88" s="325">
        <f t="shared" si="52"/>
        <v>4.0120694762453937</v>
      </c>
      <c r="J88" s="325">
        <f t="shared" si="52"/>
        <v>0.76405911190879783</v>
      </c>
      <c r="K88" s="325">
        <f t="shared" si="52"/>
        <v>1.6301819519686991</v>
      </c>
      <c r="L88" s="325">
        <f t="shared" si="52"/>
        <v>3.5116217432768679</v>
      </c>
      <c r="M88" s="325">
        <f t="shared" si="52"/>
        <v>1.8725261575083332</v>
      </c>
      <c r="N88" s="325">
        <f t="shared" si="52"/>
        <v>1.1754142941168879</v>
      </c>
      <c r="O88" s="325">
        <f t="shared" si="52"/>
        <v>2.057809370607544</v>
      </c>
      <c r="P88" s="325">
        <f t="shared" si="52"/>
        <v>1.8542543050217324</v>
      </c>
      <c r="Q88" s="325">
        <f t="shared" si="52"/>
        <v>2.8935741365569574</v>
      </c>
      <c r="R88" s="325">
        <f t="shared" si="52"/>
        <v>3.8366610020636638</v>
      </c>
      <c r="S88" s="325">
        <f t="shared" si="52"/>
        <v>2.5924199021528711</v>
      </c>
      <c r="T88" s="325">
        <f t="shared" si="52"/>
        <v>1.5374785562310367</v>
      </c>
      <c r="U88" s="325">
        <f t="shared" si="52"/>
        <v>1.0393198315352248</v>
      </c>
      <c r="V88" s="325">
        <f t="shared" si="52"/>
        <v>2.2832961306505482</v>
      </c>
      <c r="W88" s="325">
        <f>SUM(D88:V88)</f>
        <v>48.827852923055488</v>
      </c>
      <c r="Y88" s="749" t="s">
        <v>199</v>
      </c>
      <c r="Z88" s="749" t="s">
        <v>199</v>
      </c>
    </row>
    <row r="89" spans="1:26" s="353" customFormat="1">
      <c r="A89" s="251"/>
      <c r="B89" s="168">
        <v>3.5148148148148151</v>
      </c>
      <c r="C89" s="468">
        <v>293</v>
      </c>
      <c r="D89" s="325">
        <f t="shared" ref="D89:V89" si="53">D65*2.5*($B$89/4)</f>
        <v>2.9959012291975111</v>
      </c>
      <c r="E89" s="325">
        <f t="shared" si="53"/>
        <v>3.0852263374485589</v>
      </c>
      <c r="F89" s="325">
        <f t="shared" si="53"/>
        <v>5.4024277042298268</v>
      </c>
      <c r="G89" s="325">
        <f t="shared" si="53"/>
        <v>0.49061569700754204</v>
      </c>
      <c r="H89" s="325">
        <f t="shared" si="53"/>
        <v>6.1499685136694611</v>
      </c>
      <c r="I89" s="325">
        <f t="shared" si="53"/>
        <v>5.1641278667083599</v>
      </c>
      <c r="J89" s="325">
        <f t="shared" si="53"/>
        <v>0.87498626997580031</v>
      </c>
      <c r="K89" s="325">
        <f t="shared" si="53"/>
        <v>1.6425290790312301</v>
      </c>
      <c r="L89" s="325">
        <f t="shared" si="53"/>
        <v>3.428088350002926</v>
      </c>
      <c r="M89" s="325">
        <f t="shared" si="53"/>
        <v>2.513131805345393</v>
      </c>
      <c r="N89" s="848">
        <f t="shared" si="53"/>
        <v>0.85979059839697325</v>
      </c>
      <c r="O89" s="848">
        <f t="shared" si="53"/>
        <v>1.3504062954045153</v>
      </c>
      <c r="P89" s="325">
        <f t="shared" si="53"/>
        <v>1.8992128447941343</v>
      </c>
      <c r="Q89" s="325">
        <f t="shared" si="53"/>
        <v>3.0342345421920598</v>
      </c>
      <c r="R89" s="325">
        <f t="shared" si="53"/>
        <v>3.8994426023409861</v>
      </c>
      <c r="S89" s="325">
        <f t="shared" si="53"/>
        <v>2.4893309103833232</v>
      </c>
      <c r="T89" s="325">
        <f t="shared" si="53"/>
        <v>1.8020812403325923</v>
      </c>
      <c r="U89" s="325">
        <f t="shared" si="53"/>
        <v>1.1350216973979257</v>
      </c>
      <c r="V89" s="325">
        <f t="shared" si="53"/>
        <v>2.5176352886292643</v>
      </c>
      <c r="W89" s="325">
        <f>SUM(D89:V89)</f>
        <v>50.734158872488379</v>
      </c>
      <c r="Y89" s="749" t="s">
        <v>199</v>
      </c>
      <c r="Z89" s="749" t="s">
        <v>199</v>
      </c>
    </row>
    <row r="90" spans="1:26" s="353" customFormat="1">
      <c r="A90" s="251"/>
      <c r="B90" s="168">
        <v>3.5342592592592599</v>
      </c>
      <c r="C90" s="468">
        <v>294</v>
      </c>
      <c r="D90" s="325">
        <f t="shared" ref="D90:V90" si="54">D66*2.5*($B$90/4)</f>
        <v>3.0901909682474273</v>
      </c>
      <c r="E90" s="325">
        <f t="shared" si="54"/>
        <v>3.2012534979423872</v>
      </c>
      <c r="F90" s="325">
        <f t="shared" si="54"/>
        <v>4.5330427313029356</v>
      </c>
      <c r="G90" s="325">
        <f t="shared" si="54"/>
        <v>0.42296584713973817</v>
      </c>
      <c r="H90" s="325">
        <f t="shared" si="54"/>
        <v>7.5141284697610828</v>
      </c>
      <c r="I90" s="325">
        <f t="shared" si="54"/>
        <v>5.8850758641732499</v>
      </c>
      <c r="J90" s="325">
        <f t="shared" si="54"/>
        <v>0.92496976229252637</v>
      </c>
      <c r="K90" s="325">
        <f t="shared" si="54"/>
        <v>1.653706431246017</v>
      </c>
      <c r="L90" s="325">
        <f t="shared" si="54"/>
        <v>3.3428669903807204</v>
      </c>
      <c r="M90" s="325">
        <f t="shared" si="54"/>
        <v>2.0701943325952721</v>
      </c>
      <c r="N90" s="848">
        <f t="shared" si="54"/>
        <v>0.82949172142845307</v>
      </c>
      <c r="O90" s="848">
        <f t="shared" si="54"/>
        <v>1.2524575685681913</v>
      </c>
      <c r="P90" s="325">
        <f t="shared" si="54"/>
        <v>1.7766038363003842</v>
      </c>
      <c r="Q90" s="325">
        <f t="shared" si="54"/>
        <v>2.8110370332295891</v>
      </c>
      <c r="R90" s="325">
        <f t="shared" si="54"/>
        <v>4.2452426864208714</v>
      </c>
      <c r="S90" s="325">
        <f t="shared" si="54"/>
        <v>2.1954244281012589</v>
      </c>
      <c r="T90" s="325">
        <f t="shared" si="54"/>
        <v>1.4984672420630998</v>
      </c>
      <c r="U90" s="325">
        <f t="shared" si="54"/>
        <v>1.0344331969292047</v>
      </c>
      <c r="V90" s="325">
        <f t="shared" si="54"/>
        <v>2.2975104585006698</v>
      </c>
      <c r="W90" s="325">
        <f>SUM(D90:V90)</f>
        <v>50.579063066623078</v>
      </c>
      <c r="Y90" s="353" t="s">
        <v>211</v>
      </c>
      <c r="Z90" s="353" t="s">
        <v>211</v>
      </c>
    </row>
    <row r="91" spans="1:26" s="353" customFormat="1">
      <c r="A91" s="251"/>
      <c r="B91" s="414">
        <v>4.1901254540459689</v>
      </c>
      <c r="C91" s="353">
        <v>279</v>
      </c>
      <c r="D91" s="353">
        <f t="shared" ref="D91:V91" si="55">D52*2.5*($B$91/4)</f>
        <v>2.4256641817538149</v>
      </c>
      <c r="E91" s="353">
        <f t="shared" si="55"/>
        <v>1.6167676659352184</v>
      </c>
      <c r="F91" s="353">
        <f t="shared" si="55"/>
        <v>4.1702776484548254</v>
      </c>
      <c r="G91" s="353">
        <f t="shared" si="55"/>
        <v>0.80084856220818801</v>
      </c>
      <c r="H91" s="353">
        <f t="shared" si="55"/>
        <v>7.7784767882418917</v>
      </c>
      <c r="I91" s="353">
        <f t="shared" si="55"/>
        <v>2.7581548031618346</v>
      </c>
      <c r="J91" s="353">
        <f t="shared" si="55"/>
        <v>0.92158676750108304</v>
      </c>
      <c r="K91" s="353">
        <f t="shared" si="55"/>
        <v>1.6276293963164941</v>
      </c>
      <c r="L91" s="353">
        <f t="shared" si="55"/>
        <v>5.6664077610411105</v>
      </c>
      <c r="M91" s="353">
        <f t="shared" si="55"/>
        <v>2.3847317060535538</v>
      </c>
      <c r="N91" s="353">
        <f t="shared" si="55"/>
        <v>1.413963956844577</v>
      </c>
      <c r="O91" s="353">
        <f t="shared" si="55"/>
        <v>2.214812519052765</v>
      </c>
      <c r="P91" s="353">
        <f t="shared" si="55"/>
        <v>1.9785526509209235</v>
      </c>
      <c r="Q91" s="353">
        <f t="shared" si="55"/>
        <v>3.4239968863388048</v>
      </c>
      <c r="R91" s="353">
        <f t="shared" si="55"/>
        <v>3.0167938259053346</v>
      </c>
      <c r="S91" s="353">
        <f t="shared" si="55"/>
        <v>1.9117217763005485</v>
      </c>
      <c r="T91" s="848">
        <f t="shared" si="55"/>
        <v>1.0930158685664766</v>
      </c>
      <c r="U91" s="353">
        <f t="shared" si="55"/>
        <v>1.4454442354178809</v>
      </c>
      <c r="V91" s="353">
        <f t="shared" si="55"/>
        <v>1.8801639051328396</v>
      </c>
      <c r="W91" s="353">
        <f t="shared" si="36"/>
        <v>48.529010905148155</v>
      </c>
      <c r="Y91" s="749" t="s">
        <v>199</v>
      </c>
      <c r="Z91" s="353" t="s">
        <v>211</v>
      </c>
    </row>
    <row r="92" spans="1:26" s="336" customFormat="1">
      <c r="A92" s="251"/>
      <c r="B92" s="414">
        <v>4.1807453984921095</v>
      </c>
      <c r="C92" s="353">
        <v>280</v>
      </c>
      <c r="D92" s="353">
        <f t="shared" ref="D92:V92" si="56">D53*2.5*($B$92/4)</f>
        <v>2.3285750665405156</v>
      </c>
      <c r="E92" s="353">
        <f t="shared" si="56"/>
        <v>1.8042239030825946</v>
      </c>
      <c r="F92" s="353">
        <f t="shared" si="56"/>
        <v>3.8581482216809233</v>
      </c>
      <c r="G92" s="353">
        <f t="shared" si="56"/>
        <v>0.61408916029029148</v>
      </c>
      <c r="H92" s="353">
        <f t="shared" si="56"/>
        <v>6.3396853199082219</v>
      </c>
      <c r="I92" s="353">
        <f t="shared" si="56"/>
        <v>3.231180933138464</v>
      </c>
      <c r="J92" s="353">
        <f t="shared" si="56"/>
        <v>0.85359043987652494</v>
      </c>
      <c r="K92" s="353">
        <f t="shared" si="56"/>
        <v>1.4483974602651231</v>
      </c>
      <c r="L92" s="353">
        <f t="shared" si="56"/>
        <v>3.2349826640816532</v>
      </c>
      <c r="M92" s="353">
        <f t="shared" si="56"/>
        <v>2.1317072982847742</v>
      </c>
      <c r="N92" s="353">
        <f t="shared" si="56"/>
        <v>1.1853293602645953</v>
      </c>
      <c r="O92" s="848">
        <f t="shared" si="56"/>
        <v>1.7994185205548867</v>
      </c>
      <c r="P92" s="353">
        <f t="shared" si="56"/>
        <v>1.4326753988512353</v>
      </c>
      <c r="Q92" s="353">
        <f t="shared" si="56"/>
        <v>2.4279772797137618</v>
      </c>
      <c r="R92" s="353">
        <f t="shared" si="56"/>
        <v>2.3125707074074158</v>
      </c>
      <c r="S92" s="353">
        <f t="shared" si="56"/>
        <v>1.5352666887937758</v>
      </c>
      <c r="T92" s="848">
        <f t="shared" si="56"/>
        <v>1.0767722996053974</v>
      </c>
      <c r="U92" s="353">
        <f t="shared" si="56"/>
        <v>0.99530188086252691</v>
      </c>
      <c r="V92" s="353">
        <f t="shared" si="56"/>
        <v>1.6623957914622991</v>
      </c>
      <c r="W92" s="353">
        <f t="shared" si="36"/>
        <v>40.272288394664976</v>
      </c>
      <c r="Y92" s="336" t="s">
        <v>211</v>
      </c>
      <c r="Z92" s="336" t="s">
        <v>211</v>
      </c>
    </row>
    <row r="93" spans="1:26" s="336" customFormat="1">
      <c r="A93" s="251"/>
      <c r="B93" s="414">
        <v>4.2682582340470008</v>
      </c>
      <c r="C93" s="353">
        <v>281</v>
      </c>
      <c r="D93" s="353">
        <f t="shared" ref="D93:V93" si="57">D54*2.5*($B$93/4)</f>
        <v>1.4231673077984384</v>
      </c>
      <c r="E93" s="353">
        <f t="shared" si="57"/>
        <v>1.4579155978542455</v>
      </c>
      <c r="F93" s="353">
        <f t="shared" si="57"/>
        <v>1.3535175308269971</v>
      </c>
      <c r="G93" s="353">
        <f t="shared" si="57"/>
        <v>0.54660627442164622</v>
      </c>
      <c r="H93" s="353">
        <f t="shared" si="57"/>
        <v>4.2725647631107568</v>
      </c>
      <c r="I93" s="353">
        <f t="shared" si="57"/>
        <v>2.7497845085419734</v>
      </c>
      <c r="J93" s="353">
        <f t="shared" si="57"/>
        <v>0.83095326274439807</v>
      </c>
      <c r="K93" s="353">
        <f t="shared" si="57"/>
        <v>1.1723051223009291</v>
      </c>
      <c r="L93" s="848">
        <f t="shared" si="57"/>
        <v>1.9276188883004215</v>
      </c>
      <c r="M93" s="353">
        <f t="shared" si="57"/>
        <v>1.6866779243568322</v>
      </c>
      <c r="N93" s="848">
        <f t="shared" si="57"/>
        <v>0.96195962345264596</v>
      </c>
      <c r="O93" s="848">
        <f t="shared" si="57"/>
        <v>1.5085658978742922</v>
      </c>
      <c r="P93" s="848">
        <f t="shared" si="57"/>
        <v>1.1800434506070105</v>
      </c>
      <c r="Q93" s="848">
        <f t="shared" si="57"/>
        <v>1.9380518527069963</v>
      </c>
      <c r="R93" s="353">
        <f t="shared" si="57"/>
        <v>1.4925650188158972</v>
      </c>
      <c r="S93" s="353">
        <f t="shared" si="57"/>
        <v>7.1913863184686448</v>
      </c>
      <c r="T93" s="848">
        <f t="shared" si="57"/>
        <v>1.0444343972287062</v>
      </c>
      <c r="U93" s="353">
        <f t="shared" si="57"/>
        <v>0.75800840209998577</v>
      </c>
      <c r="V93" s="848">
        <f t="shared" si="57"/>
        <v>1.3530987493182816</v>
      </c>
      <c r="W93" s="353">
        <f t="shared" si="36"/>
        <v>34.849224890829099</v>
      </c>
      <c r="Y93" s="750" t="s">
        <v>199</v>
      </c>
      <c r="Z93" s="336" t="s">
        <v>211</v>
      </c>
    </row>
    <row r="94" spans="1:26" s="325" customFormat="1">
      <c r="A94" s="251"/>
      <c r="B94" s="414">
        <v>4.2158024691358023</v>
      </c>
      <c r="C94" s="353">
        <v>282</v>
      </c>
      <c r="D94" s="353">
        <f t="shared" ref="D94:V94" si="58">D55*2.5*($B$94/4)</f>
        <v>2.080446108134784</v>
      </c>
      <c r="E94" s="353">
        <f t="shared" si="58"/>
        <v>2.5038743850022862</v>
      </c>
      <c r="F94" s="353">
        <f t="shared" si="58"/>
        <v>5.1082923948441428</v>
      </c>
      <c r="G94" s="353">
        <f t="shared" si="58"/>
        <v>0.74793568378055608</v>
      </c>
      <c r="H94" s="353">
        <f t="shared" si="58"/>
        <v>5.4110750414990383</v>
      </c>
      <c r="I94" s="353">
        <f t="shared" si="58"/>
        <v>2.6585885982814603</v>
      </c>
      <c r="J94" s="353">
        <f t="shared" si="58"/>
        <v>0.92064056933306093</v>
      </c>
      <c r="K94" s="353">
        <f t="shared" si="58"/>
        <v>1.8869847213370159</v>
      </c>
      <c r="L94" s="353">
        <f t="shared" si="58"/>
        <v>3.5033530591634841</v>
      </c>
      <c r="M94" s="353">
        <f t="shared" si="58"/>
        <v>3.6659998081228626</v>
      </c>
      <c r="N94" s="353">
        <f t="shared" si="58"/>
        <v>1.8798828199185393</v>
      </c>
      <c r="O94" s="353">
        <f t="shared" si="58"/>
        <v>2.6278185036990953</v>
      </c>
      <c r="P94" s="353">
        <f t="shared" si="58"/>
        <v>1.882650899418594</v>
      </c>
      <c r="Q94" s="353">
        <f t="shared" si="58"/>
        <v>3.1825454302881693</v>
      </c>
      <c r="R94" s="353">
        <f t="shared" si="58"/>
        <v>1.6935433158649249</v>
      </c>
      <c r="S94" s="353">
        <f t="shared" si="58"/>
        <v>1.6648379326685705</v>
      </c>
      <c r="T94" s="353">
        <f t="shared" si="58"/>
        <v>1.5221456229789663</v>
      </c>
      <c r="U94" s="353">
        <f t="shared" si="58"/>
        <v>1.2998945308695748</v>
      </c>
      <c r="V94" s="353">
        <f t="shared" si="58"/>
        <v>2.32359748083242</v>
      </c>
      <c r="W94" s="353">
        <f t="shared" si="36"/>
        <v>46.564106906037537</v>
      </c>
      <c r="Y94" s="325" t="s">
        <v>211</v>
      </c>
      <c r="Z94" s="325" t="s">
        <v>211</v>
      </c>
    </row>
    <row r="95" spans="1:26" s="336" customFormat="1">
      <c r="A95" s="251"/>
      <c r="B95" s="414">
        <v>3.9966049382716049</v>
      </c>
      <c r="C95" s="353">
        <v>283</v>
      </c>
      <c r="D95" s="353">
        <f t="shared" ref="D95:V95" si="59">D56*2.5*($B$95/4)</f>
        <v>2.0001782510222115</v>
      </c>
      <c r="E95" s="353">
        <f t="shared" si="59"/>
        <v>1.8698190214906263</v>
      </c>
      <c r="F95" s="353">
        <f t="shared" si="59"/>
        <v>4.7466114331542766</v>
      </c>
      <c r="G95" s="353">
        <f t="shared" si="59"/>
        <v>0.63522506266579859</v>
      </c>
      <c r="H95" s="353">
        <f t="shared" si="59"/>
        <v>4.8727213117492774</v>
      </c>
      <c r="I95" s="353">
        <f t="shared" si="59"/>
        <v>2.1746890791902449</v>
      </c>
      <c r="J95" s="353">
        <f t="shared" si="59"/>
        <v>0.81573369371679272</v>
      </c>
      <c r="K95" s="353">
        <f t="shared" si="59"/>
        <v>1.7171598428315982</v>
      </c>
      <c r="L95" s="353">
        <f t="shared" si="59"/>
        <v>3.6781103373209381</v>
      </c>
      <c r="M95" s="353">
        <f t="shared" si="59"/>
        <v>3.8674540515997529</v>
      </c>
      <c r="N95" s="353">
        <f t="shared" si="59"/>
        <v>1.2086287848092279</v>
      </c>
      <c r="O95" s="848">
        <f t="shared" si="59"/>
        <v>1.8438538474750266</v>
      </c>
      <c r="P95" s="353">
        <f t="shared" si="59"/>
        <v>1.6780358434943521</v>
      </c>
      <c r="Q95" s="353">
        <f t="shared" si="59"/>
        <v>2.7456668718189721</v>
      </c>
      <c r="R95" s="353">
        <f t="shared" si="59"/>
        <v>1.7057100362397761</v>
      </c>
      <c r="S95" s="353">
        <f t="shared" si="59"/>
        <v>1.9239124499202873</v>
      </c>
      <c r="T95" s="353">
        <f t="shared" si="59"/>
        <v>1.3629691885629565</v>
      </c>
      <c r="U95" s="353">
        <f t="shared" si="59"/>
        <v>1.0676310283246193</v>
      </c>
      <c r="V95" s="353">
        <f t="shared" si="59"/>
        <v>2.0189311665855336</v>
      </c>
      <c r="W95" s="353">
        <f t="shared" si="36"/>
        <v>41.933041301972274</v>
      </c>
      <c r="Y95" s="750" t="s">
        <v>199</v>
      </c>
      <c r="Z95" s="750" t="s">
        <v>199</v>
      </c>
    </row>
    <row r="96" spans="1:26" s="336" customFormat="1">
      <c r="A96" s="251"/>
      <c r="B96" s="176">
        <v>4.1586419753086421</v>
      </c>
      <c r="C96" s="122">
        <v>300</v>
      </c>
      <c r="D96" s="353">
        <f t="shared" ref="D96:V96" si="60">D67*2.5*($B$96/4)</f>
        <v>1.8043307870370371</v>
      </c>
      <c r="E96" s="353">
        <f t="shared" si="60"/>
        <v>2.1840667824074078</v>
      </c>
      <c r="F96" s="353">
        <f t="shared" si="60"/>
        <v>3.3048207947530863</v>
      </c>
      <c r="G96" s="353">
        <f t="shared" si="60"/>
        <v>0.62119714506172841</v>
      </c>
      <c r="H96" s="353">
        <f t="shared" si="60"/>
        <v>5.2378095679012349</v>
      </c>
      <c r="I96" s="353">
        <f t="shared" si="60"/>
        <v>1.379629475308642</v>
      </c>
      <c r="J96" s="353">
        <f t="shared" si="60"/>
        <v>0.63263341049382726</v>
      </c>
      <c r="K96" s="353">
        <f t="shared" si="60"/>
        <v>1.2873596064814816</v>
      </c>
      <c r="L96" s="353">
        <f t="shared" si="60"/>
        <v>2.6014904706790127</v>
      </c>
      <c r="M96" s="353">
        <f t="shared" si="60"/>
        <v>1.738832175925926</v>
      </c>
      <c r="N96" s="848">
        <f t="shared" si="60"/>
        <v>0.52840744598765432</v>
      </c>
      <c r="O96" s="848">
        <f t="shared" si="60"/>
        <v>1.1496045910493828</v>
      </c>
      <c r="P96" s="353">
        <f t="shared" si="60"/>
        <v>1.4859347608024691</v>
      </c>
      <c r="Q96" s="353">
        <f t="shared" si="60"/>
        <v>2.5144189043209875</v>
      </c>
      <c r="R96" s="353">
        <f t="shared" si="60"/>
        <v>1.4180969135802473</v>
      </c>
      <c r="S96" s="353">
        <f t="shared" si="60"/>
        <v>1.7591055555555555</v>
      </c>
      <c r="T96" s="848">
        <f t="shared" si="60"/>
        <v>1.1415472222222223</v>
      </c>
      <c r="U96" s="353">
        <f t="shared" si="60"/>
        <v>1.0284841435185186</v>
      </c>
      <c r="V96" s="353">
        <f t="shared" si="60"/>
        <v>1.6010771604938272</v>
      </c>
      <c r="W96" s="353">
        <f>SUM(D96:V96)</f>
        <v>33.418846913580246</v>
      </c>
      <c r="Y96" s="336" t="s">
        <v>211</v>
      </c>
      <c r="Z96" s="336" t="s">
        <v>211</v>
      </c>
    </row>
    <row r="97" spans="1:30" s="336" customFormat="1">
      <c r="A97" s="251"/>
      <c r="B97" s="381">
        <v>3.5474952741020793</v>
      </c>
      <c r="C97" s="336">
        <v>259</v>
      </c>
      <c r="D97" s="336">
        <f t="shared" ref="D97:V97" si="61">D37*2.5*($B$97/4)</f>
        <v>2.9806256815753955</v>
      </c>
      <c r="E97" s="336">
        <f t="shared" si="61"/>
        <v>4.0257658178206146</v>
      </c>
      <c r="F97" s="336">
        <f t="shared" si="61"/>
        <v>6.7030237108053861</v>
      </c>
      <c r="G97" s="336">
        <f t="shared" si="61"/>
        <v>0.82819610011829803</v>
      </c>
      <c r="H97" s="336">
        <f t="shared" si="61"/>
        <v>10.192366371099878</v>
      </c>
      <c r="I97" s="336">
        <f t="shared" si="61"/>
        <v>3.933895664591851</v>
      </c>
      <c r="J97" s="336">
        <f t="shared" si="61"/>
        <v>1.4308410078825964</v>
      </c>
      <c r="K97" s="336">
        <f t="shared" si="61"/>
        <v>2.6239728167404297</v>
      </c>
      <c r="L97" s="336">
        <f t="shared" si="61"/>
        <v>4.9298422701669908</v>
      </c>
      <c r="M97" s="336">
        <f t="shared" si="61"/>
        <v>4.2449993369147485</v>
      </c>
      <c r="N97" s="336">
        <f t="shared" si="61"/>
        <v>1.3179086583710502</v>
      </c>
      <c r="O97" s="336">
        <f t="shared" si="61"/>
        <v>2.1461047584893485</v>
      </c>
      <c r="P97" s="336">
        <f t="shared" si="61"/>
        <v>3.2412149013764493</v>
      </c>
      <c r="Q97" s="336">
        <f t="shared" si="61"/>
        <v>5.4785691532620673</v>
      </c>
      <c r="R97" s="336">
        <f t="shared" si="61"/>
        <v>3.2313744676330307</v>
      </c>
      <c r="S97" s="336">
        <f t="shared" si="61"/>
        <v>1.5208777395439508</v>
      </c>
      <c r="T97" s="336">
        <f t="shared" si="61"/>
        <v>2.652459317573582</v>
      </c>
      <c r="U97" s="336">
        <f t="shared" si="61"/>
        <v>2.2373542518856175</v>
      </c>
      <c r="V97" s="336">
        <f t="shared" si="61"/>
        <v>3.4492493205560457</v>
      </c>
      <c r="W97" s="336">
        <f>SUM(D97:V97)</f>
        <v>67.168641346407327</v>
      </c>
      <c r="Y97" s="750" t="s">
        <v>199</v>
      </c>
      <c r="Z97" s="750" t="s">
        <v>199</v>
      </c>
    </row>
    <row r="98" spans="1:30" s="325" customFormat="1">
      <c r="A98" s="251"/>
      <c r="B98" s="381">
        <v>3.6435802469135803</v>
      </c>
      <c r="C98" s="336">
        <v>284</v>
      </c>
      <c r="D98" s="336">
        <f t="shared" ref="D98:V98" si="62">D57*2.5*($B$98/4)</f>
        <v>2.4712065572060795</v>
      </c>
      <c r="E98" s="336">
        <f t="shared" si="62"/>
        <v>2.9704964827279721</v>
      </c>
      <c r="F98" s="336">
        <f t="shared" si="62"/>
        <v>4.4577208536006099</v>
      </c>
      <c r="G98" s="336">
        <f t="shared" si="62"/>
        <v>0.6714386068954068</v>
      </c>
      <c r="H98" s="336">
        <f t="shared" si="62"/>
        <v>7.4286644260838699</v>
      </c>
      <c r="I98" s="336">
        <f t="shared" si="62"/>
        <v>3.4369885392259625</v>
      </c>
      <c r="J98" s="336">
        <f t="shared" si="62"/>
        <v>1.1971518452602519</v>
      </c>
      <c r="K98" s="336">
        <f t="shared" si="62"/>
        <v>2.0227907073578164</v>
      </c>
      <c r="L98" s="336">
        <f t="shared" si="62"/>
        <v>3.6749485879716941</v>
      </c>
      <c r="M98" s="336">
        <f t="shared" si="62"/>
        <v>2.7309875639306322</v>
      </c>
      <c r="N98" s="336">
        <f t="shared" si="62"/>
        <v>1.3354638284017131</v>
      </c>
      <c r="O98" s="336">
        <f t="shared" si="62"/>
        <v>2.0069024352971199</v>
      </c>
      <c r="P98" s="336">
        <f t="shared" si="62"/>
        <v>2.4121103373356951</v>
      </c>
      <c r="Q98" s="336">
        <f t="shared" si="62"/>
        <v>4.3045786060503399</v>
      </c>
      <c r="R98" s="336">
        <f t="shared" si="62"/>
        <v>2.3214516766776629</v>
      </c>
      <c r="S98" s="336">
        <f t="shared" si="62"/>
        <v>2.8047272249779542</v>
      </c>
      <c r="T98" s="336">
        <f t="shared" si="62"/>
        <v>2.0258413172770147</v>
      </c>
      <c r="U98" s="336">
        <f t="shared" si="62"/>
        <v>1.8924682687146455</v>
      </c>
      <c r="V98" s="336">
        <f t="shared" si="62"/>
        <v>2.856315127876484</v>
      </c>
      <c r="W98" s="336">
        <f t="shared" si="36"/>
        <v>53.022252992868921</v>
      </c>
      <c r="Y98" s="468" t="s">
        <v>199</v>
      </c>
      <c r="Z98" s="468" t="s">
        <v>199</v>
      </c>
    </row>
    <row r="99" spans="1:30" s="325" customFormat="1">
      <c r="A99" s="251"/>
      <c r="B99" s="381">
        <v>3.5767722117202267</v>
      </c>
      <c r="C99" s="336">
        <v>285</v>
      </c>
      <c r="D99" s="336">
        <f t="shared" ref="D99:V99" si="63">D58*2.5*($B$99/4)</f>
        <v>2.6867304566069068</v>
      </c>
      <c r="E99" s="336">
        <f t="shared" si="63"/>
        <v>3.7087565051820799</v>
      </c>
      <c r="F99" s="336">
        <f t="shared" si="63"/>
        <v>5.1493622474698819</v>
      </c>
      <c r="G99" s="336">
        <f t="shared" si="63"/>
        <v>0.80664060503701107</v>
      </c>
      <c r="H99" s="336">
        <f t="shared" si="63"/>
        <v>10.865128251070178</v>
      </c>
      <c r="I99" s="336">
        <f t="shared" si="63"/>
        <v>3.0049278148104968</v>
      </c>
      <c r="J99" s="336">
        <f t="shared" si="63"/>
        <v>1.3614274254548271</v>
      </c>
      <c r="K99" s="336">
        <f t="shared" si="63"/>
        <v>2.1865760720260261</v>
      </c>
      <c r="L99" s="336">
        <f t="shared" si="63"/>
        <v>3.7896793889341649</v>
      </c>
      <c r="M99" s="336">
        <f t="shared" si="63"/>
        <v>3.172528387472294</v>
      </c>
      <c r="N99" s="336">
        <f t="shared" si="63"/>
        <v>1.0040831333764881</v>
      </c>
      <c r="O99" s="848">
        <f t="shared" si="63"/>
        <v>1.8107237384134993</v>
      </c>
      <c r="P99" s="336">
        <f t="shared" si="63"/>
        <v>2.4228455578382535</v>
      </c>
      <c r="Q99" s="336">
        <f t="shared" si="63"/>
        <v>4.1469335010294834</v>
      </c>
      <c r="R99" s="336">
        <f t="shared" si="63"/>
        <v>3.1734800736521063</v>
      </c>
      <c r="S99" s="336">
        <f t="shared" si="63"/>
        <v>1.4647041884325211</v>
      </c>
      <c r="T99" s="336">
        <f t="shared" si="63"/>
        <v>1.8500890800079071</v>
      </c>
      <c r="U99" s="336">
        <f t="shared" si="63"/>
        <v>1.7240879431912297</v>
      </c>
      <c r="V99" s="336">
        <f t="shared" si="63"/>
        <v>2.5812524769244627</v>
      </c>
      <c r="W99" s="336">
        <f t="shared" si="36"/>
        <v>56.909956846929816</v>
      </c>
      <c r="Y99" s="325" t="s">
        <v>211</v>
      </c>
      <c r="Z99" s="325" t="s">
        <v>211</v>
      </c>
    </row>
    <row r="100" spans="1:30" s="325" customFormat="1">
      <c r="A100" s="251"/>
      <c r="B100" s="381">
        <v>3.6345699432892249</v>
      </c>
      <c r="C100" s="336">
        <v>288</v>
      </c>
      <c r="D100" s="336">
        <f t="shared" ref="D100:V100" si="64">D60*2.5*($B$100/4)</f>
        <v>2.8764719469788398</v>
      </c>
      <c r="E100" s="336">
        <f t="shared" si="64"/>
        <v>3.9649119670237343</v>
      </c>
      <c r="F100" s="336">
        <f t="shared" si="64"/>
        <v>7.3653548561781053</v>
      </c>
      <c r="G100" s="336">
        <f t="shared" si="64"/>
        <v>0.86672519884033272</v>
      </c>
      <c r="H100" s="336">
        <f t="shared" si="64"/>
        <v>10.835892585833312</v>
      </c>
      <c r="I100" s="336">
        <f t="shared" si="64"/>
        <v>3.3013442078691795</v>
      </c>
      <c r="J100" s="336">
        <f t="shared" si="64"/>
        <v>1.544315582501806</v>
      </c>
      <c r="K100" s="336">
        <f t="shared" si="64"/>
        <v>2.6426967613169667</v>
      </c>
      <c r="L100" s="336">
        <f t="shared" si="64"/>
        <v>4.567331384300358</v>
      </c>
      <c r="M100" s="336">
        <f t="shared" si="64"/>
        <v>3.5425661338453414</v>
      </c>
      <c r="N100" s="848">
        <f t="shared" si="64"/>
        <v>0.93918087095590685</v>
      </c>
      <c r="O100" s="848">
        <f t="shared" si="64"/>
        <v>1.8059060697962392</v>
      </c>
      <c r="P100" s="336">
        <f t="shared" si="64"/>
        <v>2.8683190704881278</v>
      </c>
      <c r="Q100" s="336">
        <f t="shared" si="64"/>
        <v>5.0825870990465214</v>
      </c>
      <c r="R100" s="336">
        <f t="shared" si="64"/>
        <v>3.1692323608078214</v>
      </c>
      <c r="S100" s="336">
        <f t="shared" si="64"/>
        <v>2.861683841138305</v>
      </c>
      <c r="T100" s="336">
        <f t="shared" si="64"/>
        <v>2.0979153141440485</v>
      </c>
      <c r="U100" s="336">
        <f t="shared" si="64"/>
        <v>2.2142680285583936</v>
      </c>
      <c r="V100" s="336">
        <f t="shared" si="64"/>
        <v>2.9625427378658817</v>
      </c>
      <c r="W100" s="336">
        <f t="shared" si="36"/>
        <v>65.509246017489218</v>
      </c>
      <c r="Y100" s="468" t="s">
        <v>199</v>
      </c>
      <c r="Z100" s="468" t="s">
        <v>199</v>
      </c>
    </row>
    <row r="101" spans="1:30" s="325" customFormat="1">
      <c r="A101" s="251"/>
      <c r="B101" s="381">
        <v>3.5651234567901233</v>
      </c>
      <c r="C101" s="336">
        <v>289</v>
      </c>
      <c r="D101" s="336">
        <f t="shared" ref="D101:V101" si="65">D61*2.5*($B$101/4)</f>
        <v>4.16747978790068</v>
      </c>
      <c r="E101" s="336">
        <f t="shared" si="65"/>
        <v>2.8346692729766803</v>
      </c>
      <c r="F101" s="336">
        <f t="shared" si="65"/>
        <v>5.5186622272196368</v>
      </c>
      <c r="G101" s="336">
        <f t="shared" si="65"/>
        <v>0.94046490327766463</v>
      </c>
      <c r="H101" s="336">
        <f t="shared" si="65"/>
        <v>10.956099352417574</v>
      </c>
      <c r="I101" s="336">
        <f t="shared" si="65"/>
        <v>2.8739337576448363</v>
      </c>
      <c r="J101" s="336">
        <f t="shared" si="65"/>
        <v>1.2260187015195616</v>
      </c>
      <c r="K101" s="336">
        <f t="shared" si="65"/>
        <v>2.2319300321772535</v>
      </c>
      <c r="L101" s="336">
        <f t="shared" si="65"/>
        <v>6.6364946632117254</v>
      </c>
      <c r="M101" s="336">
        <f t="shared" si="65"/>
        <v>2.1919598017396229</v>
      </c>
      <c r="N101" s="336">
        <f t="shared" si="65"/>
        <v>1.201831479245836</v>
      </c>
      <c r="O101" s="336">
        <f t="shared" si="65"/>
        <v>2.1422963825235009</v>
      </c>
      <c r="P101" s="336">
        <f t="shared" si="65"/>
        <v>2.9043163800078444</v>
      </c>
      <c r="Q101" s="336">
        <f t="shared" si="65"/>
        <v>4.9191296055323255</v>
      </c>
      <c r="R101" s="336">
        <f t="shared" si="65"/>
        <v>4.1343072085300472</v>
      </c>
      <c r="S101" s="336">
        <f t="shared" si="65"/>
        <v>2.6662752364315696</v>
      </c>
      <c r="T101" s="336">
        <f t="shared" si="65"/>
        <v>1.7088866402653373</v>
      </c>
      <c r="U101" s="336">
        <f t="shared" si="65"/>
        <v>2.0148132255244811</v>
      </c>
      <c r="V101" s="336">
        <f t="shared" si="65"/>
        <v>2.6913655843914377</v>
      </c>
      <c r="W101" s="336">
        <f t="shared" si="36"/>
        <v>63.96093424253759</v>
      </c>
      <c r="Y101" s="468" t="s">
        <v>199</v>
      </c>
      <c r="Z101" s="468" t="s">
        <v>199</v>
      </c>
    </row>
    <row r="102" spans="1:30" s="353" customFormat="1">
      <c r="A102" s="251"/>
      <c r="B102" s="381">
        <v>3.7024691358024691</v>
      </c>
      <c r="C102" s="336">
        <v>290</v>
      </c>
      <c r="D102" s="336">
        <f t="shared" ref="D102:V102" si="66">D62*2.5*($B$102/4)</f>
        <v>2.5999593065752231</v>
      </c>
      <c r="E102" s="336">
        <f t="shared" si="66"/>
        <v>2.3424288065843624</v>
      </c>
      <c r="F102" s="336">
        <f t="shared" si="66"/>
        <v>4.8637927941475194</v>
      </c>
      <c r="G102" s="336">
        <f t="shared" si="66"/>
        <v>0.78463303233082815</v>
      </c>
      <c r="H102" s="336">
        <f t="shared" si="66"/>
        <v>9.4153576055244983</v>
      </c>
      <c r="I102" s="336">
        <f t="shared" si="66"/>
        <v>3.0524279505395797</v>
      </c>
      <c r="J102" s="336">
        <f t="shared" si="66"/>
        <v>1.0283485009873483</v>
      </c>
      <c r="K102" s="336">
        <f t="shared" si="66"/>
        <v>1.6860548009170737</v>
      </c>
      <c r="L102" s="336">
        <f t="shared" si="66"/>
        <v>4.8467233311138109</v>
      </c>
      <c r="M102" s="336">
        <f t="shared" si="66"/>
        <v>2.0351188355907395</v>
      </c>
      <c r="N102" s="848">
        <f t="shared" si="66"/>
        <v>0.94543877420258904</v>
      </c>
      <c r="O102" s="848">
        <f t="shared" si="66"/>
        <v>1.7300718065334173</v>
      </c>
      <c r="P102" s="336">
        <f t="shared" si="66"/>
        <v>2.2500800561928416</v>
      </c>
      <c r="Q102" s="336">
        <f t="shared" si="66"/>
        <v>3.7074513221820888</v>
      </c>
      <c r="R102" s="336">
        <f t="shared" si="66"/>
        <v>3.2243118935973119</v>
      </c>
      <c r="S102" s="336">
        <f t="shared" si="66"/>
        <v>2.1246532746659494</v>
      </c>
      <c r="T102" s="336">
        <f t="shared" si="66"/>
        <v>1.5375733173667536</v>
      </c>
      <c r="U102" s="336">
        <f t="shared" si="66"/>
        <v>1.4573712659892468</v>
      </c>
      <c r="V102" s="336">
        <f t="shared" si="66"/>
        <v>2.1400210775762978</v>
      </c>
      <c r="W102" s="336">
        <f t="shared" si="36"/>
        <v>51.77181775261748</v>
      </c>
      <c r="Y102" s="749" t="s">
        <v>199</v>
      </c>
      <c r="Z102" s="749" t="s">
        <v>199</v>
      </c>
    </row>
    <row r="103" spans="1:30">
      <c r="B103" s="169"/>
      <c r="C103" s="396"/>
      <c r="D103" s="602"/>
      <c r="E103" s="602"/>
      <c r="F103" s="602"/>
      <c r="G103" s="602"/>
      <c r="H103" s="602"/>
      <c r="I103" s="602"/>
      <c r="J103" s="602"/>
      <c r="K103" s="602"/>
      <c r="L103" s="602"/>
      <c r="M103" s="602"/>
      <c r="N103" s="602"/>
      <c r="O103" s="602"/>
      <c r="P103" s="602"/>
      <c r="Q103" s="602"/>
      <c r="R103" s="602"/>
      <c r="S103" s="602"/>
      <c r="T103" s="602"/>
      <c r="U103" s="602"/>
      <c r="V103" s="602"/>
      <c r="W103" s="602"/>
    </row>
    <row r="104" spans="1:30" ht="28.5">
      <c r="B104" s="169"/>
      <c r="C104" s="603" t="s">
        <v>705</v>
      </c>
      <c r="D104" s="162" t="s">
        <v>551</v>
      </c>
      <c r="E104" s="239" t="s">
        <v>552</v>
      </c>
      <c r="F104" s="157" t="s">
        <v>553</v>
      </c>
      <c r="G104" s="157" t="s">
        <v>554</v>
      </c>
      <c r="H104" s="157" t="s">
        <v>555</v>
      </c>
      <c r="I104" s="157" t="s">
        <v>556</v>
      </c>
      <c r="J104" s="239" t="s">
        <v>557</v>
      </c>
      <c r="K104" s="239" t="s">
        <v>558</v>
      </c>
      <c r="L104" s="239" t="s">
        <v>559</v>
      </c>
      <c r="M104" s="239" t="s">
        <v>560</v>
      </c>
      <c r="N104" s="240" t="s">
        <v>561</v>
      </c>
      <c r="O104" s="241" t="s">
        <v>562</v>
      </c>
      <c r="P104" s="239" t="s">
        <v>563</v>
      </c>
      <c r="Q104" s="242" t="s">
        <v>564</v>
      </c>
      <c r="R104" s="157" t="s">
        <v>565</v>
      </c>
      <c r="S104" s="592" t="s">
        <v>566</v>
      </c>
      <c r="T104" s="239" t="s">
        <v>567</v>
      </c>
      <c r="U104" s="157" t="s">
        <v>568</v>
      </c>
      <c r="V104" s="239" t="s">
        <v>569</v>
      </c>
      <c r="W104" s="602" t="s">
        <v>706</v>
      </c>
      <c r="Y104" s="472" t="s">
        <v>707</v>
      </c>
      <c r="Z104" s="472" t="s">
        <v>708</v>
      </c>
    </row>
    <row r="105" spans="1:30">
      <c r="B105" s="169"/>
      <c r="C105" s="396" t="s">
        <v>709</v>
      </c>
      <c r="D105" s="602">
        <f t="shared" ref="D105:W105" si="67">MEDIAN(D72:D77,D86)</f>
        <v>3.9011127391872851</v>
      </c>
      <c r="E105" s="602">
        <f t="shared" si="67"/>
        <v>3.938641152263374</v>
      </c>
      <c r="F105" s="602">
        <f t="shared" si="67"/>
        <v>6.6784147410972672</v>
      </c>
      <c r="G105" s="602">
        <f t="shared" si="67"/>
        <v>0.82726709580559865</v>
      </c>
      <c r="H105" s="602">
        <f t="shared" si="67"/>
        <v>9.1449061029349696</v>
      </c>
      <c r="I105" s="602">
        <f t="shared" si="67"/>
        <v>5.5421660984523733</v>
      </c>
      <c r="J105" s="602">
        <f t="shared" si="67"/>
        <v>1.2673871930132774</v>
      </c>
      <c r="K105" s="602">
        <f t="shared" si="67"/>
        <v>2.6213138244901213</v>
      </c>
      <c r="L105" s="602">
        <f t="shared" si="67"/>
        <v>5.1893223866870404</v>
      </c>
      <c r="M105" s="602">
        <f t="shared" si="67"/>
        <v>3.8272322102821454</v>
      </c>
      <c r="N105" s="602">
        <f t="shared" si="67"/>
        <v>1.3443159282583725</v>
      </c>
      <c r="O105" s="602">
        <f t="shared" si="67"/>
        <v>2.1206323216564806</v>
      </c>
      <c r="P105" s="602">
        <f t="shared" si="67"/>
        <v>2.6550742010211583</v>
      </c>
      <c r="Q105" s="602">
        <f t="shared" si="67"/>
        <v>4.5523109987086823</v>
      </c>
      <c r="R105" s="602">
        <f t="shared" si="67"/>
        <v>3.7937791866299273</v>
      </c>
      <c r="S105" s="602">
        <f t="shared" si="67"/>
        <v>2.8095298340378467</v>
      </c>
      <c r="T105" s="602">
        <f t="shared" si="67"/>
        <v>2.2447058107311255</v>
      </c>
      <c r="U105" s="602">
        <f t="shared" si="67"/>
        <v>1.8972367976875233</v>
      </c>
      <c r="V105" s="602">
        <f t="shared" si="67"/>
        <v>3.3927555001149377</v>
      </c>
      <c r="W105" s="602">
        <f t="shared" si="67"/>
        <v>66.984785054541433</v>
      </c>
    </row>
    <row r="106" spans="1:30">
      <c r="B106" s="169"/>
      <c r="C106" s="396" t="s">
        <v>258</v>
      </c>
      <c r="D106" s="602">
        <f t="shared" ref="D106:W106" si="68">MEDIAN(D78:D80,D88:D90)</f>
        <v>2.8499902475838468</v>
      </c>
      <c r="E106" s="602">
        <f t="shared" si="68"/>
        <v>2.8018363004701516</v>
      </c>
      <c r="F106" s="602">
        <f t="shared" si="68"/>
        <v>4.2794521148757561</v>
      </c>
      <c r="G106" s="602">
        <f t="shared" si="68"/>
        <v>0.59822393825797548</v>
      </c>
      <c r="H106" s="602">
        <f t="shared" si="68"/>
        <v>7.2036415533719467</v>
      </c>
      <c r="I106" s="602">
        <f t="shared" si="68"/>
        <v>4.1339387146526168</v>
      </c>
      <c r="J106" s="602">
        <f t="shared" si="68"/>
        <v>0.99452868711784226</v>
      </c>
      <c r="K106" s="602">
        <f t="shared" si="68"/>
        <v>1.6363555154999645</v>
      </c>
      <c r="L106" s="602">
        <f t="shared" si="68"/>
        <v>3.3854776701918232</v>
      </c>
      <c r="M106" s="602">
        <f t="shared" si="68"/>
        <v>2.3169160824162827</v>
      </c>
      <c r="N106" s="602">
        <f t="shared" si="68"/>
        <v>0.94335242735766101</v>
      </c>
      <c r="O106" s="602">
        <f t="shared" si="68"/>
        <v>1.5011091242495023</v>
      </c>
      <c r="P106" s="602">
        <f t="shared" si="68"/>
        <v>1.8658010297768453</v>
      </c>
      <c r="Q106" s="602">
        <f t="shared" si="68"/>
        <v>2.9236273975387932</v>
      </c>
      <c r="R106" s="602">
        <f t="shared" si="68"/>
        <v>3.8680518022023249</v>
      </c>
      <c r="S106" s="602">
        <f t="shared" si="68"/>
        <v>2.3423776692422908</v>
      </c>
      <c r="T106" s="602">
        <f t="shared" si="68"/>
        <v>1.6085256637414407</v>
      </c>
      <c r="U106" s="602">
        <f t="shared" si="68"/>
        <v>1.0482931685856478</v>
      </c>
      <c r="V106" s="602">
        <f t="shared" si="68"/>
        <v>2.2904032945756088</v>
      </c>
      <c r="W106" s="602">
        <f t="shared" si="68"/>
        <v>49.779177630878408</v>
      </c>
    </row>
    <row r="107" spans="1:30">
      <c r="B107" s="169"/>
      <c r="C107" s="396" t="s">
        <v>288</v>
      </c>
      <c r="D107" s="602">
        <f t="shared" ref="D107:W107" si="69">MEDIAN(D81:D85,D87)</f>
        <v>3.398924393880808</v>
      </c>
      <c r="E107" s="602">
        <f t="shared" si="69"/>
        <v>3.2958665409236394</v>
      </c>
      <c r="F107" s="602">
        <f t="shared" si="69"/>
        <v>5.1290852278102079</v>
      </c>
      <c r="G107" s="602">
        <f t="shared" si="69"/>
        <v>0.61358857673448064</v>
      </c>
      <c r="H107" s="602">
        <f t="shared" si="69"/>
        <v>7.1746503925729792</v>
      </c>
      <c r="I107" s="602">
        <f t="shared" si="69"/>
        <v>5.1970830955266853</v>
      </c>
      <c r="J107" s="602">
        <f t="shared" si="69"/>
        <v>1.1044484076647336</v>
      </c>
      <c r="K107" s="602">
        <f t="shared" si="69"/>
        <v>1.9464709558237732</v>
      </c>
      <c r="L107" s="602">
        <f t="shared" si="69"/>
        <v>3.9003310401135893</v>
      </c>
      <c r="M107" s="602">
        <f t="shared" si="69"/>
        <v>2.8271997648047229</v>
      </c>
      <c r="N107" s="602">
        <f t="shared" si="69"/>
        <v>1.0557183120900933</v>
      </c>
      <c r="O107" s="602">
        <f t="shared" si="69"/>
        <v>1.6932146378141546</v>
      </c>
      <c r="P107" s="602">
        <f t="shared" si="69"/>
        <v>2.1377302217331113</v>
      </c>
      <c r="Q107" s="602">
        <f t="shared" si="69"/>
        <v>3.4397332405392351</v>
      </c>
      <c r="R107" s="602">
        <f t="shared" si="69"/>
        <v>3.8607185051280237</v>
      </c>
      <c r="S107" s="602">
        <f t="shared" si="69"/>
        <v>2.3215311702986856</v>
      </c>
      <c r="T107" s="602">
        <f t="shared" si="69"/>
        <v>1.7467189446304585</v>
      </c>
      <c r="U107" s="602">
        <f t="shared" si="69"/>
        <v>1.3085710651770359</v>
      </c>
      <c r="V107" s="602">
        <f t="shared" si="69"/>
        <v>2.5483199962547167</v>
      </c>
      <c r="W107" s="602">
        <f t="shared" si="69"/>
        <v>55.899883788265818</v>
      </c>
    </row>
    <row r="108" spans="1:30">
      <c r="B108" s="169"/>
      <c r="C108" s="396" t="s">
        <v>83</v>
      </c>
      <c r="D108" s="602">
        <f t="shared" ref="D108:W108" si="70">MEDIAN(D91:D95,D96)</f>
        <v>2.040312179578498</v>
      </c>
      <c r="E108" s="602">
        <f t="shared" si="70"/>
        <v>1.8370214622866103</v>
      </c>
      <c r="F108" s="602">
        <f t="shared" si="70"/>
        <v>4.0142129350678744</v>
      </c>
      <c r="G108" s="602">
        <f t="shared" si="70"/>
        <v>0.62821110386376344</v>
      </c>
      <c r="H108" s="602">
        <f t="shared" si="70"/>
        <v>5.3244423047001366</v>
      </c>
      <c r="I108" s="602">
        <f t="shared" si="70"/>
        <v>2.7041865534117169</v>
      </c>
      <c r="J108" s="602">
        <f t="shared" si="70"/>
        <v>0.84227185131046145</v>
      </c>
      <c r="K108" s="602">
        <f t="shared" si="70"/>
        <v>1.5380134282908084</v>
      </c>
      <c r="L108" s="602">
        <f t="shared" si="70"/>
        <v>3.3691678616225689</v>
      </c>
      <c r="M108" s="602">
        <f t="shared" si="70"/>
        <v>2.258219502169164</v>
      </c>
      <c r="N108" s="602">
        <f t="shared" si="70"/>
        <v>1.1969790725369116</v>
      </c>
      <c r="O108" s="602">
        <f t="shared" si="70"/>
        <v>1.8216361840149566</v>
      </c>
      <c r="P108" s="602">
        <f t="shared" si="70"/>
        <v>1.5819853021484107</v>
      </c>
      <c r="Q108" s="602">
        <f t="shared" si="70"/>
        <v>2.6300428880699798</v>
      </c>
      <c r="R108" s="602">
        <f t="shared" si="70"/>
        <v>1.6996266760523504</v>
      </c>
      <c r="S108" s="602">
        <f t="shared" si="70"/>
        <v>1.835413665928052</v>
      </c>
      <c r="T108" s="602">
        <f t="shared" si="70"/>
        <v>1.1172815453943494</v>
      </c>
      <c r="U108" s="602">
        <f t="shared" si="70"/>
        <v>1.0480575859215691</v>
      </c>
      <c r="V108" s="602">
        <f t="shared" si="70"/>
        <v>1.7712798482975693</v>
      </c>
      <c r="W108" s="602">
        <f t="shared" si="70"/>
        <v>41.102664848318625</v>
      </c>
    </row>
    <row r="109" spans="1:30">
      <c r="B109" s="169"/>
      <c r="C109" s="396" t="s">
        <v>444</v>
      </c>
      <c r="D109" s="602">
        <f t="shared" ref="D109:W109" si="71">MEDIAN(D97,D98:D99,D100:D102)</f>
        <v>2.7816012017928733</v>
      </c>
      <c r="E109" s="602">
        <f t="shared" si="71"/>
        <v>3.3396264939550262</v>
      </c>
      <c r="F109" s="602">
        <f t="shared" si="71"/>
        <v>5.3340122373447594</v>
      </c>
      <c r="G109" s="602">
        <f t="shared" si="71"/>
        <v>0.81741835257765461</v>
      </c>
      <c r="H109" s="602">
        <f t="shared" si="71"/>
        <v>10.514129478466595</v>
      </c>
      <c r="I109" s="602">
        <f t="shared" si="71"/>
        <v>3.1768860792043796</v>
      </c>
      <c r="J109" s="602">
        <f t="shared" si="71"/>
        <v>1.2937230634871943</v>
      </c>
      <c r="K109" s="602">
        <f t="shared" si="71"/>
        <v>2.2092530521016398</v>
      </c>
      <c r="L109" s="602">
        <f t="shared" si="71"/>
        <v>4.7070273577070845</v>
      </c>
      <c r="M109" s="602">
        <f t="shared" si="71"/>
        <v>2.9517579757014634</v>
      </c>
      <c r="N109" s="602">
        <f t="shared" si="71"/>
        <v>1.1029573063111622</v>
      </c>
      <c r="O109" s="602">
        <f t="shared" si="71"/>
        <v>1.9088130868553095</v>
      </c>
      <c r="P109" s="602">
        <f t="shared" si="71"/>
        <v>2.6455823141631907</v>
      </c>
      <c r="Q109" s="602">
        <f t="shared" si="71"/>
        <v>4.6118541057913323</v>
      </c>
      <c r="R109" s="602">
        <f t="shared" si="71"/>
        <v>3.1988959836247091</v>
      </c>
      <c r="S109" s="602">
        <f t="shared" si="71"/>
        <v>2.3954642555487595</v>
      </c>
      <c r="T109" s="602">
        <f t="shared" si="71"/>
        <v>1.9379651986424609</v>
      </c>
      <c r="U109" s="602">
        <f t="shared" si="71"/>
        <v>1.9536407471195631</v>
      </c>
      <c r="V109" s="602">
        <f t="shared" si="71"/>
        <v>2.7738403561339608</v>
      </c>
      <c r="W109" s="602">
        <f t="shared" si="71"/>
        <v>60.435445544733703</v>
      </c>
    </row>
    <row r="110" spans="1:30">
      <c r="B110" s="169"/>
      <c r="C110" s="396"/>
      <c r="D110" s="602"/>
      <c r="E110" s="602"/>
      <c r="F110" s="602"/>
      <c r="G110" s="602"/>
      <c r="H110" s="602"/>
      <c r="I110" s="602"/>
      <c r="J110" s="602"/>
      <c r="K110" s="602"/>
      <c r="L110" s="602"/>
      <c r="M110" s="602"/>
      <c r="N110" s="602"/>
      <c r="O110" s="602"/>
      <c r="P110" s="602"/>
      <c r="Q110" s="602"/>
      <c r="R110" s="602"/>
      <c r="S110" s="602"/>
      <c r="T110" s="602"/>
      <c r="U110" s="602"/>
      <c r="V110" s="602"/>
      <c r="W110" s="602"/>
    </row>
    <row r="111" spans="1:30">
      <c r="B111" s="169"/>
      <c r="C111" s="396"/>
      <c r="S111" s="251"/>
    </row>
    <row r="112" spans="1:30" ht="51" customHeight="1">
      <c r="A112" s="2" t="s">
        <v>0</v>
      </c>
      <c r="B112" s="3" t="s">
        <v>126</v>
      </c>
      <c r="C112" s="161" t="s">
        <v>550</v>
      </c>
      <c r="D112" s="162" t="s">
        <v>551</v>
      </c>
      <c r="E112" s="239" t="s">
        <v>552</v>
      </c>
      <c r="F112" s="157" t="s">
        <v>553</v>
      </c>
      <c r="G112" s="157" t="s">
        <v>554</v>
      </c>
      <c r="H112" s="157" t="s">
        <v>555</v>
      </c>
      <c r="I112" s="157" t="s">
        <v>556</v>
      </c>
      <c r="J112" s="239" t="s">
        <v>557</v>
      </c>
      <c r="K112" s="239" t="s">
        <v>558</v>
      </c>
      <c r="L112" s="239" t="s">
        <v>559</v>
      </c>
      <c r="M112" s="239" t="s">
        <v>560</v>
      </c>
      <c r="N112" s="240" t="s">
        <v>561</v>
      </c>
      <c r="O112" s="241" t="s">
        <v>562</v>
      </c>
      <c r="P112" s="239" t="s">
        <v>563</v>
      </c>
      <c r="Q112" s="242" t="s">
        <v>564</v>
      </c>
      <c r="R112" s="157" t="s">
        <v>565</v>
      </c>
      <c r="S112" s="592" t="s">
        <v>566</v>
      </c>
      <c r="T112" s="239" t="s">
        <v>567</v>
      </c>
      <c r="U112" s="157" t="s">
        <v>568</v>
      </c>
      <c r="V112" s="239" t="s">
        <v>569</v>
      </c>
      <c r="W112" s="157" t="s">
        <v>570</v>
      </c>
      <c r="Y112" s="262" t="s">
        <v>571</v>
      </c>
      <c r="Z112" s="3" t="s">
        <v>572</v>
      </c>
      <c r="AC112" s="747" t="s">
        <v>662</v>
      </c>
      <c r="AD112" s="747" t="s">
        <v>663</v>
      </c>
    </row>
    <row r="113" spans="1:23" s="336" customFormat="1">
      <c r="A113" s="971" t="s">
        <v>710</v>
      </c>
      <c r="B113" s="381">
        <v>3.5474952741020793</v>
      </c>
      <c r="C113" s="336">
        <v>259</v>
      </c>
      <c r="D113" s="336">
        <f t="shared" ref="D113:W113" si="72">LOG(D97)</f>
        <v>0.47430743908744938</v>
      </c>
      <c r="E113" s="336">
        <f t="shared" si="72"/>
        <v>0.60484850801256762</v>
      </c>
      <c r="F113" s="336">
        <f t="shared" si="72"/>
        <v>0.82627075563924735</v>
      </c>
      <c r="G113" s="336">
        <f t="shared" si="72"/>
        <v>-8.1866818872388558E-2</v>
      </c>
      <c r="H113" s="336">
        <f t="shared" si="72"/>
        <v>1.0082750262635733</v>
      </c>
      <c r="I113" s="336">
        <f t="shared" si="72"/>
        <v>0.59482283730855667</v>
      </c>
      <c r="J113" s="336">
        <f t="shared" si="72"/>
        <v>0.15559137852887056</v>
      </c>
      <c r="K113" s="336">
        <f t="shared" si="72"/>
        <v>0.41895933161795895</v>
      </c>
      <c r="L113" s="336">
        <f t="shared" si="72"/>
        <v>0.69283302428900684</v>
      </c>
      <c r="M113" s="336">
        <f t="shared" si="72"/>
        <v>0.62787762674150549</v>
      </c>
      <c r="N113" s="336">
        <f t="shared" si="72"/>
        <v>0.11988531121392074</v>
      </c>
      <c r="O113" s="336">
        <f t="shared" si="72"/>
        <v>0.33165091750105641</v>
      </c>
      <c r="P113" s="336">
        <f t="shared" si="72"/>
        <v>0.51070782689393301</v>
      </c>
      <c r="Q113" s="336">
        <f t="shared" si="72"/>
        <v>0.73866714790355814</v>
      </c>
      <c r="R113" s="336">
        <f t="shared" si="72"/>
        <v>0.50938728912354736</v>
      </c>
      <c r="S113" s="336">
        <f t="shared" si="72"/>
        <v>0.18209430335244298</v>
      </c>
      <c r="T113" s="336">
        <f t="shared" si="72"/>
        <v>0.42364873157854438</v>
      </c>
      <c r="U113" s="336">
        <f t="shared" si="72"/>
        <v>0.34973475363555662</v>
      </c>
      <c r="V113" s="336">
        <f t="shared" si="72"/>
        <v>0.53772458741705631</v>
      </c>
      <c r="W113" s="336">
        <f t="shared" si="72"/>
        <v>1.8271665636965526</v>
      </c>
    </row>
    <row r="114" spans="1:23" s="325" customFormat="1">
      <c r="A114" s="971"/>
      <c r="B114" s="168">
        <v>3.899382716049383</v>
      </c>
      <c r="C114" s="467">
        <v>265</v>
      </c>
      <c r="D114" s="325">
        <f t="shared" ref="D114:W114" si="73">LOG(D72)</f>
        <v>0.66574480523166013</v>
      </c>
      <c r="E114" s="325">
        <f t="shared" si="73"/>
        <v>0.69327707699151253</v>
      </c>
      <c r="F114" s="325">
        <f t="shared" si="73"/>
        <v>0.86679434052933246</v>
      </c>
      <c r="G114" s="325">
        <f t="shared" si="73"/>
        <v>-9.501164679777771E-2</v>
      </c>
      <c r="H114" s="325">
        <f t="shared" si="73"/>
        <v>1.0281458247097652</v>
      </c>
      <c r="I114" s="325">
        <f t="shared" si="73"/>
        <v>0.76717844677143665</v>
      </c>
      <c r="J114" s="325">
        <f t="shared" si="73"/>
        <v>0.21229564470382345</v>
      </c>
      <c r="K114" s="325">
        <f t="shared" si="73"/>
        <v>0.4528845012015047</v>
      </c>
      <c r="L114" s="325">
        <f t="shared" si="73"/>
        <v>0.71511065208055957</v>
      </c>
      <c r="M114" s="325">
        <f t="shared" si="73"/>
        <v>0.66773653939142885</v>
      </c>
      <c r="N114" s="325">
        <f t="shared" si="73"/>
        <v>0.12850134444371195</v>
      </c>
      <c r="O114" s="325">
        <f t="shared" si="73"/>
        <v>0.33199798361098803</v>
      </c>
      <c r="P114" s="325">
        <f t="shared" si="73"/>
        <v>0.62997225276204993</v>
      </c>
      <c r="Q114" s="325">
        <f t="shared" si="73"/>
        <v>0.80348897851390966</v>
      </c>
      <c r="R114" s="325">
        <f t="shared" si="73"/>
        <v>0.42372089266280766</v>
      </c>
      <c r="S114" s="325">
        <f t="shared" si="73"/>
        <v>0.32117241365978566</v>
      </c>
      <c r="T114" s="325">
        <f t="shared" si="73"/>
        <v>0.54329829762051907</v>
      </c>
      <c r="U114" s="325">
        <f t="shared" si="73"/>
        <v>0.32117241365978566</v>
      </c>
      <c r="V114" s="325">
        <f t="shared" si="73"/>
        <v>0.54329829762051907</v>
      </c>
      <c r="W114" s="325">
        <f t="shared" si="73"/>
        <v>1.8837012703137381</v>
      </c>
    </row>
    <row r="115" spans="1:23" s="325" customFormat="1">
      <c r="A115" s="971"/>
      <c r="B115" s="168">
        <v>3.6053086419753084</v>
      </c>
      <c r="C115" s="467">
        <v>266</v>
      </c>
      <c r="D115" s="325">
        <f t="shared" ref="D115:W115" si="74">LOG(D73)</f>
        <v>0.52237307228901497</v>
      </c>
      <c r="E115" s="325">
        <f t="shared" si="74"/>
        <v>0.55870820299542245</v>
      </c>
      <c r="F115" s="325">
        <f t="shared" si="74"/>
        <v>0.77420416841098205</v>
      </c>
      <c r="G115" s="325">
        <f t="shared" si="74"/>
        <v>-8.0588644524087136E-2</v>
      </c>
      <c r="H115" s="325">
        <f t="shared" si="74"/>
        <v>0.89202476525926389</v>
      </c>
      <c r="I115" s="325">
        <f t="shared" si="74"/>
        <v>0.65832123284273125</v>
      </c>
      <c r="J115" s="325">
        <f t="shared" si="74"/>
        <v>3.61835050845042E-2</v>
      </c>
      <c r="K115" s="325">
        <f t="shared" si="74"/>
        <v>0.37340040537479113</v>
      </c>
      <c r="L115" s="325">
        <f t="shared" si="74"/>
        <v>0.66534298952773818</v>
      </c>
      <c r="M115" s="325">
        <f t="shared" si="74"/>
        <v>0.46341917099374652</v>
      </c>
      <c r="N115" s="325">
        <f t="shared" si="74"/>
        <v>2.4207177431907218E-2</v>
      </c>
      <c r="O115" s="325">
        <f t="shared" si="74"/>
        <v>0.27599254403122314</v>
      </c>
      <c r="P115" s="325">
        <f t="shared" si="74"/>
        <v>0.36016990044920444</v>
      </c>
      <c r="Q115" s="325">
        <f t="shared" si="74"/>
        <v>0.56026150900805882</v>
      </c>
      <c r="R115" s="325">
        <f t="shared" si="74"/>
        <v>0.5480174111219841</v>
      </c>
      <c r="S115" s="325">
        <f t="shared" si="74"/>
        <v>0.38813237426917524</v>
      </c>
      <c r="T115" s="325">
        <f t="shared" si="74"/>
        <v>0.27667584118174288</v>
      </c>
      <c r="U115" s="325">
        <f t="shared" si="74"/>
        <v>0.12749465534732918</v>
      </c>
      <c r="V115" s="325">
        <f t="shared" si="74"/>
        <v>0.45102060785257614</v>
      </c>
      <c r="W115" s="325">
        <f t="shared" si="74"/>
        <v>1.7631653780092096</v>
      </c>
    </row>
    <row r="116" spans="1:23" s="325" customFormat="1">
      <c r="A116" s="971"/>
      <c r="B116" s="168">
        <v>3.94320987654321</v>
      </c>
      <c r="C116" s="467">
        <v>267</v>
      </c>
      <c r="D116" s="325">
        <f t="shared" ref="D116:W116" si="75">LOG(D74)</f>
        <v>0.59118850127294054</v>
      </c>
      <c r="E116" s="325">
        <f t="shared" si="75"/>
        <v>0.58714161663727971</v>
      </c>
      <c r="F116" s="325">
        <f t="shared" si="75"/>
        <v>0.82467338599372952</v>
      </c>
      <c r="G116" s="325">
        <f t="shared" si="75"/>
        <v>-0.29891799203474984</v>
      </c>
      <c r="H116" s="325">
        <f t="shared" si="75"/>
        <v>0.96117925063402543</v>
      </c>
      <c r="I116" s="325">
        <f t="shared" si="75"/>
        <v>0.73967012902280216</v>
      </c>
      <c r="J116" s="325">
        <f t="shared" si="75"/>
        <v>0.10132047214385573</v>
      </c>
      <c r="K116" s="325">
        <f t="shared" si="75"/>
        <v>0.42225494479672027</v>
      </c>
      <c r="L116" s="325">
        <f t="shared" si="75"/>
        <v>0.6993961321011305</v>
      </c>
      <c r="M116" s="325">
        <f t="shared" si="75"/>
        <v>0.59236075665032972</v>
      </c>
      <c r="N116" s="325">
        <f t="shared" si="75"/>
        <v>0.13830342759043354</v>
      </c>
      <c r="O116" s="325">
        <f t="shared" si="75"/>
        <v>0.27356601226528571</v>
      </c>
      <c r="P116" s="325">
        <f t="shared" si="75"/>
        <v>0.42407666275976325</v>
      </c>
      <c r="Q116" s="325">
        <f t="shared" si="75"/>
        <v>0.65823192395146091</v>
      </c>
      <c r="R116" s="325">
        <f t="shared" si="75"/>
        <v>0.5702742568487027</v>
      </c>
      <c r="S116" s="325">
        <f t="shared" si="75"/>
        <v>0.4486336481729426</v>
      </c>
      <c r="T116" s="325">
        <f t="shared" si="75"/>
        <v>0.3572412428508735</v>
      </c>
      <c r="U116" s="325">
        <f t="shared" si="75"/>
        <v>0.27812153938150885</v>
      </c>
      <c r="V116" s="325">
        <f t="shared" si="75"/>
        <v>0.53374772208515076</v>
      </c>
      <c r="W116" s="325">
        <f t="shared" si="75"/>
        <v>1.8259761681151034</v>
      </c>
    </row>
    <row r="117" spans="1:23" s="325" customFormat="1">
      <c r="B117" s="168">
        <v>3.8748765432098766</v>
      </c>
      <c r="C117" s="467">
        <v>268</v>
      </c>
      <c r="D117" s="325">
        <f t="shared" ref="D117:W117" si="76">LOG(D75)</f>
        <v>0.69878074839204285</v>
      </c>
      <c r="E117" s="325">
        <f t="shared" si="76"/>
        <v>0.69772392003136874</v>
      </c>
      <c r="F117" s="325">
        <f t="shared" si="76"/>
        <v>0.89225847752198761</v>
      </c>
      <c r="G117" s="325">
        <f t="shared" si="76"/>
        <v>2.3501917872622059E-2</v>
      </c>
      <c r="H117" s="325">
        <f t="shared" si="76"/>
        <v>1.1185005225523492</v>
      </c>
      <c r="I117" s="325">
        <f t="shared" si="76"/>
        <v>0.89129521711572135</v>
      </c>
      <c r="J117" s="325">
        <f t="shared" si="76"/>
        <v>0.21252581515033958</v>
      </c>
      <c r="K117" s="325">
        <f t="shared" si="76"/>
        <v>0.50278728157592234</v>
      </c>
      <c r="L117" s="325">
        <f t="shared" si="76"/>
        <v>0.88743380812963701</v>
      </c>
      <c r="M117" s="325">
        <f t="shared" si="76"/>
        <v>0.60712259599723728</v>
      </c>
      <c r="N117" s="325">
        <f t="shared" si="76"/>
        <v>0.22253270650212481</v>
      </c>
      <c r="O117" s="325">
        <f t="shared" si="76"/>
        <v>0.43535051806193653</v>
      </c>
      <c r="P117" s="325">
        <f t="shared" si="76"/>
        <v>0.55251862363256266</v>
      </c>
      <c r="Q117" s="325">
        <f t="shared" si="76"/>
        <v>0.76566946231648458</v>
      </c>
      <c r="R117" s="325">
        <f t="shared" si="76"/>
        <v>0.79788969458379544</v>
      </c>
      <c r="S117" s="325">
        <f t="shared" si="76"/>
        <v>0.55167003073008947</v>
      </c>
      <c r="T117" s="325">
        <f t="shared" si="76"/>
        <v>0.41940007044203864</v>
      </c>
      <c r="U117" s="325">
        <f t="shared" si="76"/>
        <v>0.35434697727796921</v>
      </c>
      <c r="V117" s="325">
        <f t="shared" si="76"/>
        <v>0.65114245337142296</v>
      </c>
      <c r="W117" s="325">
        <f t="shared" si="76"/>
        <v>1.9510587341720524</v>
      </c>
    </row>
    <row r="118" spans="1:23" s="325" customFormat="1">
      <c r="B118" s="168">
        <v>3.8876543209876546</v>
      </c>
      <c r="C118" s="467">
        <v>269</v>
      </c>
      <c r="D118" s="325">
        <f t="shared" ref="D118:W118" si="77">LOG(D76)</f>
        <v>0.63092120825827214</v>
      </c>
      <c r="E118" s="325">
        <f t="shared" si="77"/>
        <v>0.61889098965990896</v>
      </c>
      <c r="F118" s="325">
        <f t="shared" si="77"/>
        <v>0.82600015980210761</v>
      </c>
      <c r="G118" s="325">
        <f t="shared" si="77"/>
        <v>-0.1676008523556542</v>
      </c>
      <c r="H118" s="325">
        <f t="shared" si="77"/>
        <v>1.0740271416557707</v>
      </c>
      <c r="I118" s="325">
        <f t="shared" si="77"/>
        <v>0.74367953742606796</v>
      </c>
      <c r="J118" s="325">
        <f t="shared" si="77"/>
        <v>0.13579500983373999</v>
      </c>
      <c r="K118" s="325">
        <f t="shared" si="77"/>
        <v>0.39031019036868703</v>
      </c>
      <c r="L118" s="325">
        <f t="shared" si="77"/>
        <v>0.73057946197681956</v>
      </c>
      <c r="M118" s="325">
        <f t="shared" si="77"/>
        <v>0.5828848130436115</v>
      </c>
      <c r="N118" s="325">
        <f t="shared" si="77"/>
        <v>0.13155252014550051</v>
      </c>
      <c r="O118" s="325">
        <f t="shared" si="77"/>
        <v>0.30827022169283574</v>
      </c>
      <c r="P118" s="325">
        <f t="shared" si="77"/>
        <v>0.47767621606163563</v>
      </c>
      <c r="Q118" s="325">
        <f t="shared" si="77"/>
        <v>0.704380186397077</v>
      </c>
      <c r="R118" s="325">
        <f t="shared" si="77"/>
        <v>0.68850492429203181</v>
      </c>
      <c r="S118" s="325">
        <f t="shared" si="77"/>
        <v>0.45815868193034553</v>
      </c>
      <c r="T118" s="325">
        <f t="shared" si="77"/>
        <v>0.3503448613151296</v>
      </c>
      <c r="U118" s="325">
        <f t="shared" si="77"/>
        <v>0.31362272781830408</v>
      </c>
      <c r="V118" s="325">
        <f t="shared" si="77"/>
        <v>0.53055256321807942</v>
      </c>
      <c r="W118" s="325">
        <f t="shared" si="77"/>
        <v>1.8641505827500662</v>
      </c>
    </row>
    <row r="119" spans="1:23" s="325" customFormat="1">
      <c r="B119" s="168">
        <v>3.7285185185185186</v>
      </c>
      <c r="C119" s="467">
        <v>270</v>
      </c>
      <c r="D119" s="325">
        <f t="shared" ref="D119:W119" si="78">LOG(D77)</f>
        <v>0.58642160347955274</v>
      </c>
      <c r="E119" s="325">
        <f t="shared" si="78"/>
        <v>0.58900248515859388</v>
      </c>
      <c r="F119" s="325">
        <f t="shared" si="78"/>
        <v>0.76792515008554196</v>
      </c>
      <c r="G119" s="325">
        <f t="shared" si="78"/>
        <v>-6.7875307540335231E-2</v>
      </c>
      <c r="H119" s="325">
        <f t="shared" si="78"/>
        <v>0.93827600511136044</v>
      </c>
      <c r="I119" s="325">
        <f t="shared" si="78"/>
        <v>0.76660216434044159</v>
      </c>
      <c r="J119" s="325">
        <f t="shared" si="78"/>
        <v>0.10290931425224317</v>
      </c>
      <c r="K119" s="325">
        <f t="shared" si="78"/>
        <v>0.41851901792696888</v>
      </c>
      <c r="L119" s="325">
        <f t="shared" si="78"/>
        <v>0.77863539435791218</v>
      </c>
      <c r="M119" s="325">
        <f t="shared" si="78"/>
        <v>0.51891941063402824</v>
      </c>
      <c r="N119" s="325">
        <f t="shared" si="78"/>
        <v>0.1094742969567217</v>
      </c>
      <c r="O119" s="325">
        <f t="shared" si="78"/>
        <v>0.33082014583065633</v>
      </c>
      <c r="P119" s="325">
        <f t="shared" si="78"/>
        <v>0.38795510762563901</v>
      </c>
      <c r="Q119" s="325">
        <f t="shared" si="78"/>
        <v>0.62869510045654875</v>
      </c>
      <c r="R119" s="325">
        <f t="shared" si="78"/>
        <v>0.63924259833130714</v>
      </c>
      <c r="S119" s="325">
        <f t="shared" si="78"/>
        <v>0.46343775546738414</v>
      </c>
      <c r="T119" s="325">
        <f t="shared" si="78"/>
        <v>0.35115943079675221</v>
      </c>
      <c r="U119" s="325">
        <f t="shared" si="78"/>
        <v>0.25763520178085514</v>
      </c>
      <c r="V119" s="325">
        <f t="shared" si="78"/>
        <v>0.4674167370598552</v>
      </c>
      <c r="W119" s="325">
        <f t="shared" si="78"/>
        <v>1.8231447634155156</v>
      </c>
    </row>
    <row r="120" spans="1:23" s="325" customFormat="1">
      <c r="B120" s="168">
        <v>3.8925925925925928</v>
      </c>
      <c r="C120" s="468">
        <v>271</v>
      </c>
      <c r="D120" s="325">
        <f t="shared" ref="D120:W120" si="79">LOG(D78)</f>
        <v>0.50567389457212375</v>
      </c>
      <c r="E120" s="325">
        <f t="shared" si="79"/>
        <v>0.43132020675924387</v>
      </c>
      <c r="F120" s="325">
        <f t="shared" si="79"/>
        <v>0.7464459468861665</v>
      </c>
      <c r="G120" s="325">
        <f t="shared" si="79"/>
        <v>-0.29483612172541968</v>
      </c>
      <c r="H120" s="325">
        <f t="shared" si="79"/>
        <v>0.80506572023010436</v>
      </c>
      <c r="I120" s="325">
        <f t="shared" si="79"/>
        <v>0.60866629628780811</v>
      </c>
      <c r="J120" s="325">
        <f t="shared" si="79"/>
        <v>6.1234561688083347E-2</v>
      </c>
      <c r="K120" s="325">
        <f t="shared" si="79"/>
        <v>0.2614043803158827</v>
      </c>
      <c r="L120" s="325">
        <f t="shared" si="79"/>
        <v>0.6024889097900068</v>
      </c>
      <c r="M120" s="325">
        <f t="shared" si="79"/>
        <v>0.49309497099673943</v>
      </c>
      <c r="N120" s="325">
        <f t="shared" si="79"/>
        <v>1.1534183069160892E-2</v>
      </c>
      <c r="O120" s="325">
        <f t="shared" si="79"/>
        <v>0.18585262543722975</v>
      </c>
      <c r="P120" s="325">
        <f t="shared" si="79"/>
        <v>0.32723090204252742</v>
      </c>
      <c r="Q120" s="325">
        <f t="shared" si="79"/>
        <v>0.47036353913459555</v>
      </c>
      <c r="R120" s="325">
        <f t="shared" si="79"/>
        <v>0.42305516529079851</v>
      </c>
      <c r="S120" s="325">
        <f t="shared" si="79"/>
        <v>0.30572969219083451</v>
      </c>
      <c r="T120" s="325">
        <f t="shared" si="79"/>
        <v>0.24150132998390628</v>
      </c>
      <c r="U120" s="325">
        <f t="shared" si="79"/>
        <v>-8.1284654368040998E-2</v>
      </c>
      <c r="V120" s="325">
        <f t="shared" si="79"/>
        <v>0.4143854669678313</v>
      </c>
      <c r="W120" s="325">
        <f t="shared" si="79"/>
        <v>1.6990212885535991</v>
      </c>
    </row>
    <row r="121" spans="1:23" s="325" customFormat="1">
      <c r="B121" s="168">
        <v>3.7620370370370373</v>
      </c>
      <c r="C121" s="468">
        <v>272</v>
      </c>
      <c r="D121" s="325">
        <f t="shared" ref="D121:W121" si="80">LOG(D79)</f>
        <v>0.43201941813827172</v>
      </c>
      <c r="E121" s="325">
        <f t="shared" si="80"/>
        <v>0.4629881448232453</v>
      </c>
      <c r="F121" s="325">
        <f t="shared" si="80"/>
        <v>0.46038244153608543</v>
      </c>
      <c r="G121" s="325">
        <f t="shared" si="80"/>
        <v>-0.16161325568297735</v>
      </c>
      <c r="H121" s="325">
        <f t="shared" si="80"/>
        <v>0.8755417325482846</v>
      </c>
      <c r="I121" s="325">
        <f t="shared" si="80"/>
        <v>0.62392770441230849</v>
      </c>
      <c r="J121" s="325">
        <f t="shared" si="80"/>
        <v>3.9455327579640792E-2</v>
      </c>
      <c r="K121" s="325">
        <f t="shared" si="80"/>
        <v>0.20488835922908574</v>
      </c>
      <c r="L121" s="325">
        <f t="shared" si="80"/>
        <v>0.47237361568406927</v>
      </c>
      <c r="M121" s="325">
        <f t="shared" si="80"/>
        <v>0.3795494296942698</v>
      </c>
      <c r="N121" s="325">
        <f t="shared" si="80"/>
        <v>9.2039805399481575E-2</v>
      </c>
      <c r="O121" s="325">
        <f t="shared" si="80"/>
        <v>0.2845043979735476</v>
      </c>
      <c r="P121" s="325">
        <f t="shared" si="80"/>
        <v>0.2735447275416642</v>
      </c>
      <c r="Q121" s="325">
        <f t="shared" si="80"/>
        <v>0.48245901647037492</v>
      </c>
      <c r="R121" s="325">
        <f t="shared" si="80"/>
        <v>0.59653091495834443</v>
      </c>
      <c r="S121" s="325">
        <f t="shared" si="80"/>
        <v>0.54254462884344334</v>
      </c>
      <c r="T121" s="325">
        <f t="shared" si="80"/>
        <v>0.22519882536639818</v>
      </c>
      <c r="U121" s="325">
        <f t="shared" si="80"/>
        <v>6.4365024793186343E-2</v>
      </c>
      <c r="V121" s="325">
        <f t="shared" si="80"/>
        <v>0.35020046574965563</v>
      </c>
      <c r="W121" s="325">
        <f t="shared" si="80"/>
        <v>1.695065137236522</v>
      </c>
    </row>
    <row r="122" spans="1:23" s="325" customFormat="1">
      <c r="B122" s="168">
        <v>3.5370370370370376</v>
      </c>
      <c r="C122" s="468">
        <v>273</v>
      </c>
      <c r="D122" s="325">
        <f t="shared" ref="D122:W122" si="81">LOG(D80)</f>
        <v>0.37881213948386516</v>
      </c>
      <c r="E122" s="325">
        <f t="shared" si="81"/>
        <v>0.4171019675395049</v>
      </c>
      <c r="F122" s="325">
        <f t="shared" si="81"/>
        <v>0.42724147141583541</v>
      </c>
      <c r="G122" s="325">
        <f t="shared" si="81"/>
        <v>-0.13687796300026453</v>
      </c>
      <c r="H122" s="325">
        <f t="shared" si="81"/>
        <v>0.83878495561576072</v>
      </c>
      <c r="I122" s="325">
        <f t="shared" si="81"/>
        <v>0.5733257452445919</v>
      </c>
      <c r="J122" s="325">
        <f t="shared" si="81"/>
        <v>2.6977387185548402E-2</v>
      </c>
      <c r="K122" s="325">
        <f t="shared" si="81"/>
        <v>0.16637805311931941</v>
      </c>
      <c r="L122" s="325">
        <f t="shared" si="81"/>
        <v>0.41007813184311243</v>
      </c>
      <c r="M122" s="325">
        <f t="shared" si="81"/>
        <v>0.34976046013984174</v>
      </c>
      <c r="N122" s="325">
        <f t="shared" si="81"/>
        <v>-0.13167336454353853</v>
      </c>
      <c r="O122" s="325">
        <f t="shared" si="81"/>
        <v>0.16676212835396528</v>
      </c>
      <c r="P122" s="325">
        <f t="shared" si="81"/>
        <v>0.19947068378744334</v>
      </c>
      <c r="Q122" s="325">
        <f t="shared" si="81"/>
        <v>0.42164163217479161</v>
      </c>
      <c r="R122" s="325">
        <f t="shared" si="81"/>
        <v>0.52361835441998472</v>
      </c>
      <c r="S122" s="325">
        <f t="shared" si="81"/>
        <v>0.17221191344327991</v>
      </c>
      <c r="T122" s="325">
        <f t="shared" si="81"/>
        <v>0.1185561819748658</v>
      </c>
      <c r="U122" s="325">
        <f t="shared" si="81"/>
        <v>2.4184473909466493E-2</v>
      </c>
      <c r="V122" s="325">
        <f t="shared" si="81"/>
        <v>0.27749791782565847</v>
      </c>
      <c r="W122" s="325">
        <f t="shared" si="81"/>
        <v>1.6223432889548746</v>
      </c>
    </row>
    <row r="123" spans="1:23" s="325" customFormat="1">
      <c r="B123" s="168">
        <v>3.9492592592592586</v>
      </c>
      <c r="C123" s="469">
        <v>274</v>
      </c>
      <c r="D123" s="325">
        <f t="shared" ref="D123:W123" si="82">LOG(D81)</f>
        <v>0.55551905696911252</v>
      </c>
      <c r="E123" s="325">
        <f t="shared" si="82"/>
        <v>0.45389122755098094</v>
      </c>
      <c r="F123" s="325">
        <f t="shared" si="82"/>
        <v>0.53843923049538778</v>
      </c>
      <c r="G123" s="325">
        <f t="shared" si="82"/>
        <v>-0.20569305639779661</v>
      </c>
      <c r="H123" s="325">
        <f t="shared" si="82"/>
        <v>0.97691963074741994</v>
      </c>
      <c r="I123" s="325">
        <f t="shared" si="82"/>
        <v>0.56803455694208338</v>
      </c>
      <c r="J123" s="325">
        <f t="shared" si="82"/>
        <v>0.12821467980457338</v>
      </c>
      <c r="K123" s="325">
        <f t="shared" si="82"/>
        <v>0.25651826073491713</v>
      </c>
      <c r="L123" s="325">
        <f t="shared" si="82"/>
        <v>0.58580572094431549</v>
      </c>
      <c r="M123" s="325">
        <f t="shared" si="82"/>
        <v>0.50783070476884395</v>
      </c>
      <c r="N123" s="325">
        <f t="shared" si="82"/>
        <v>0.10999508012678028</v>
      </c>
      <c r="O123" s="325">
        <f t="shared" si="82"/>
        <v>0.28125505502043757</v>
      </c>
      <c r="P123" s="325">
        <f t="shared" si="82"/>
        <v>0.38455310392993125</v>
      </c>
      <c r="Q123" s="325">
        <f t="shared" si="82"/>
        <v>0.61343817427748393</v>
      </c>
      <c r="R123" s="325">
        <f t="shared" si="82"/>
        <v>0.56521204500410593</v>
      </c>
      <c r="S123" s="325">
        <f t="shared" si="82"/>
        <v>0.46348038123488028</v>
      </c>
      <c r="T123" s="325">
        <f t="shared" si="82"/>
        <v>0.25920656839248324</v>
      </c>
      <c r="U123" s="325">
        <f t="shared" si="82"/>
        <v>0.22584340602342429</v>
      </c>
      <c r="V123" s="325">
        <f t="shared" si="82"/>
        <v>0.38012125168351391</v>
      </c>
      <c r="W123" s="325">
        <f t="shared" si="82"/>
        <v>1.7491696477877847</v>
      </c>
    </row>
    <row r="124" spans="1:23" s="325" customFormat="1">
      <c r="B124" s="168">
        <v>3.492283950617284</v>
      </c>
      <c r="C124" s="469">
        <v>275</v>
      </c>
      <c r="D124" s="325">
        <f t="shared" ref="D124:W124" si="83">LOG(D82)</f>
        <v>0.32488777215398312</v>
      </c>
      <c r="E124" s="325">
        <f t="shared" si="83"/>
        <v>0.41957125282521457</v>
      </c>
      <c r="F124" s="325">
        <f t="shared" si="83"/>
        <v>0.60541301000563874</v>
      </c>
      <c r="G124" s="325">
        <f t="shared" si="83"/>
        <v>-0.2303245213993029</v>
      </c>
      <c r="H124" s="325">
        <f t="shared" si="83"/>
        <v>0.77779336383610387</v>
      </c>
      <c r="I124" s="325">
        <f t="shared" si="83"/>
        <v>0.41185898627537326</v>
      </c>
      <c r="J124" s="325">
        <f t="shared" si="83"/>
        <v>6.5648366335903055E-2</v>
      </c>
      <c r="K124" s="325">
        <f t="shared" si="83"/>
        <v>0.29258963650589126</v>
      </c>
      <c r="L124" s="325">
        <f t="shared" si="83"/>
        <v>0.49320609341196386</v>
      </c>
      <c r="M124" s="325">
        <f t="shared" si="83"/>
        <v>0.46648766212814358</v>
      </c>
      <c r="N124" s="325">
        <f t="shared" si="83"/>
        <v>-3.5760167786032956E-2</v>
      </c>
      <c r="O124" s="325">
        <f t="shared" si="83"/>
        <v>0.17879336271349489</v>
      </c>
      <c r="P124" s="325">
        <f t="shared" si="83"/>
        <v>0.32265461718489497</v>
      </c>
      <c r="Q124" s="325">
        <f t="shared" si="83"/>
        <v>0.52490647913866562</v>
      </c>
      <c r="R124" s="325">
        <f t="shared" si="83"/>
        <v>0.34073549035939077</v>
      </c>
      <c r="S124" s="325">
        <f t="shared" si="83"/>
        <v>0.10262075270953104</v>
      </c>
      <c r="T124" s="325">
        <f t="shared" si="83"/>
        <v>0.2240428061160972</v>
      </c>
      <c r="U124" s="325">
        <f t="shared" si="83"/>
        <v>9.5806243456766985E-2</v>
      </c>
      <c r="V124" s="325">
        <f t="shared" si="83"/>
        <v>0.37324138386947958</v>
      </c>
      <c r="W124" s="325">
        <f t="shared" si="83"/>
        <v>1.6407290396887841</v>
      </c>
    </row>
    <row r="125" spans="1:23" s="325" customFormat="1">
      <c r="B125" s="168">
        <v>3.837530864197531</v>
      </c>
      <c r="C125" s="469">
        <v>276</v>
      </c>
      <c r="D125" s="325">
        <f t="shared" ref="D125:W125" si="84">LOG(D83)</f>
        <v>0.64271310412743921</v>
      </c>
      <c r="E125" s="325">
        <f t="shared" si="84"/>
        <v>0.61466659377917432</v>
      </c>
      <c r="F125" s="325">
        <f t="shared" si="84"/>
        <v>0.81089430640668891</v>
      </c>
      <c r="G125" s="325">
        <f t="shared" si="84"/>
        <v>-8.7963414934479928E-2</v>
      </c>
      <c r="H125" s="325">
        <f t="shared" si="84"/>
        <v>0.96878793651848882</v>
      </c>
      <c r="I125" s="325">
        <f t="shared" si="84"/>
        <v>0.86866263659460885</v>
      </c>
      <c r="J125" s="325">
        <f t="shared" si="84"/>
        <v>9.3568984975660088E-2</v>
      </c>
      <c r="K125" s="325">
        <f t="shared" si="84"/>
        <v>0.36598179181650686</v>
      </c>
      <c r="L125" s="325">
        <f t="shared" si="84"/>
        <v>0.74035686638560794</v>
      </c>
      <c r="M125" s="325">
        <f t="shared" si="84"/>
        <v>0.49890199086591253</v>
      </c>
      <c r="N125" s="325">
        <f t="shared" si="84"/>
        <v>5.8755715360994783E-2</v>
      </c>
      <c r="O125" s="325">
        <f t="shared" si="84"/>
        <v>0.2925927297330333</v>
      </c>
      <c r="P125" s="325">
        <f t="shared" si="84"/>
        <v>0.3967719157507732</v>
      </c>
      <c r="Q125" s="325">
        <f t="shared" si="84"/>
        <v>0.63235715311099605</v>
      </c>
      <c r="R125" s="325">
        <f t="shared" si="84"/>
        <v>0.685655267951923</v>
      </c>
      <c r="S125" s="325">
        <f t="shared" si="84"/>
        <v>0.45940146455735303</v>
      </c>
      <c r="T125" s="325">
        <f t="shared" si="84"/>
        <v>0.36942591284563153</v>
      </c>
      <c r="U125" s="325">
        <f t="shared" si="84"/>
        <v>0.2542400659457667</v>
      </c>
      <c r="V125" s="325">
        <f t="shared" si="84"/>
        <v>0.51532060921320477</v>
      </c>
      <c r="W125" s="325">
        <f t="shared" si="84"/>
        <v>1.8434907347400677</v>
      </c>
    </row>
    <row r="126" spans="1:23" s="325" customFormat="1">
      <c r="B126" s="168">
        <v>3.465740740740741</v>
      </c>
      <c r="C126" s="469">
        <v>277</v>
      </c>
      <c r="D126" s="325">
        <f t="shared" ref="D126:W126" si="85">LOG(D84)</f>
        <v>0.53046944672872121</v>
      </c>
      <c r="E126" s="325">
        <f t="shared" si="85"/>
        <v>0.55512477384001213</v>
      </c>
      <c r="F126" s="325">
        <f t="shared" si="85"/>
        <v>0.75478077439328972</v>
      </c>
      <c r="G126" s="325">
        <f t="shared" si="85"/>
        <v>-0.47144838400623729</v>
      </c>
      <c r="H126" s="325">
        <f t="shared" si="85"/>
        <v>0.84518499586818863</v>
      </c>
      <c r="I126" s="325">
        <f t="shared" si="85"/>
        <v>0.76380460631170866</v>
      </c>
      <c r="J126" s="325">
        <f t="shared" si="85"/>
        <v>1.9412489721404559E-2</v>
      </c>
      <c r="K126" s="325">
        <f t="shared" si="85"/>
        <v>0.28912207706931747</v>
      </c>
      <c r="L126" s="325">
        <f t="shared" si="85"/>
        <v>0.59633341890802083</v>
      </c>
      <c r="M126" s="325">
        <f t="shared" si="85"/>
        <v>0.42837821736788656</v>
      </c>
      <c r="N126" s="325">
        <f t="shared" si="85"/>
        <v>-3.5248495108909088E-2</v>
      </c>
      <c r="O126" s="325">
        <f t="shared" si="85"/>
        <v>0.10028770556039238</v>
      </c>
      <c r="P126" s="325">
        <f t="shared" si="85"/>
        <v>0.33713055420767046</v>
      </c>
      <c r="Q126" s="325">
        <f t="shared" si="85"/>
        <v>0.54784031526003973</v>
      </c>
      <c r="R126" s="325">
        <f t="shared" si="85"/>
        <v>0.60711392045925239</v>
      </c>
      <c r="S126" s="325">
        <f t="shared" si="85"/>
        <v>0.36729792202572292</v>
      </c>
      <c r="T126" s="325">
        <f t="shared" si="85"/>
        <v>0.27105086172222143</v>
      </c>
      <c r="U126" s="325">
        <f t="shared" si="85"/>
        <v>0.13263710165602355</v>
      </c>
      <c r="V126" s="325">
        <f t="shared" si="85"/>
        <v>0.43999264053730969</v>
      </c>
      <c r="W126" s="325">
        <f t="shared" si="85"/>
        <v>1.7456450109833512</v>
      </c>
    </row>
    <row r="127" spans="1:23" s="325" customFormat="1">
      <c r="B127" s="168">
        <v>3.5858024691358024</v>
      </c>
      <c r="C127" s="469">
        <v>278</v>
      </c>
      <c r="D127" s="325">
        <f t="shared" ref="D127:W127" si="86">LOG(D85)</f>
        <v>0.46538306332557067</v>
      </c>
      <c r="E127" s="325">
        <f t="shared" si="86"/>
        <v>0.47901881127758289</v>
      </c>
      <c r="F127" s="325">
        <f t="shared" si="86"/>
        <v>0.69668783080537877</v>
      </c>
      <c r="G127" s="325">
        <f t="shared" si="86"/>
        <v>-0.21864903510857797</v>
      </c>
      <c r="H127" s="325">
        <f t="shared" si="86"/>
        <v>0.80866618525294287</v>
      </c>
      <c r="I127" s="325">
        <f t="shared" si="86"/>
        <v>0.66173077202871056</v>
      </c>
      <c r="J127" s="325">
        <f t="shared" si="86"/>
        <v>-6.3998903339444205E-2</v>
      </c>
      <c r="K127" s="325">
        <f t="shared" si="86"/>
        <v>0.18850237033344408</v>
      </c>
      <c r="L127" s="325">
        <f t="shared" si="86"/>
        <v>0.47067444567368666</v>
      </c>
      <c r="M127" s="325">
        <f t="shared" si="86"/>
        <v>0.33848026834153827</v>
      </c>
      <c r="N127" s="325">
        <f t="shared" si="86"/>
        <v>6.3590470935676296E-2</v>
      </c>
      <c r="O127" s="325">
        <f t="shared" si="86"/>
        <v>0.24603598964848197</v>
      </c>
      <c r="P127" s="325">
        <f t="shared" si="86"/>
        <v>0.24902325174661585</v>
      </c>
      <c r="Q127" s="325">
        <f t="shared" si="86"/>
        <v>0.47454307553153779</v>
      </c>
      <c r="R127" s="325">
        <f t="shared" si="86"/>
        <v>0.50669210965597711</v>
      </c>
      <c r="S127" s="325">
        <f t="shared" si="86"/>
        <v>0.36039066922274282</v>
      </c>
      <c r="T127" s="325">
        <f t="shared" si="86"/>
        <v>0.19083203845690855</v>
      </c>
      <c r="U127" s="325">
        <f t="shared" si="86"/>
        <v>8.2052141885729443E-2</v>
      </c>
      <c r="V127" s="325">
        <f t="shared" si="86"/>
        <v>0.34548130763271773</v>
      </c>
      <c r="W127" s="325">
        <f t="shared" si="86"/>
        <v>1.6833674099268849</v>
      </c>
    </row>
    <row r="128" spans="1:23" s="353" customFormat="1">
      <c r="B128" s="414">
        <v>4.1901254540459689</v>
      </c>
      <c r="C128" s="353">
        <v>279</v>
      </c>
      <c r="D128" s="353">
        <f t="shared" ref="D128:W128" si="87">LOG(D91)</f>
        <v>0.38483067529956627</v>
      </c>
      <c r="E128" s="353">
        <f t="shared" si="87"/>
        <v>0.20864761505058585</v>
      </c>
      <c r="F128" s="353">
        <f t="shared" si="87"/>
        <v>0.62016497036409979</v>
      </c>
      <c r="G128" s="353">
        <f t="shared" si="87"/>
        <v>-9.64495997899881E-2</v>
      </c>
      <c r="H128" s="353">
        <f t="shared" si="87"/>
        <v>0.89089456007091672</v>
      </c>
      <c r="I128" s="353">
        <f t="shared" si="87"/>
        <v>0.44061863757306635</v>
      </c>
      <c r="J128" s="353">
        <f t="shared" si="87"/>
        <v>-3.5463769644082169E-2</v>
      </c>
      <c r="K128" s="353">
        <f t="shared" si="87"/>
        <v>0.21155552496519506</v>
      </c>
      <c r="L128" s="353">
        <f t="shared" si="87"/>
        <v>0.75330782362568172</v>
      </c>
      <c r="M128" s="353">
        <f t="shared" si="87"/>
        <v>0.37743952587731588</v>
      </c>
      <c r="N128" s="353">
        <f t="shared" si="87"/>
        <v>0.15043833906270698</v>
      </c>
      <c r="O128" s="353">
        <f t="shared" si="87"/>
        <v>0.34533696966207766</v>
      </c>
      <c r="P128" s="353">
        <f t="shared" si="87"/>
        <v>0.29634761169084101</v>
      </c>
      <c r="Q128" s="353">
        <f t="shared" si="87"/>
        <v>0.53453336107331351</v>
      </c>
      <c r="R128" s="353">
        <f t="shared" si="87"/>
        <v>0.47954563058226685</v>
      </c>
      <c r="S128" s="353">
        <f t="shared" si="87"/>
        <v>0.28142468720284736</v>
      </c>
      <c r="T128" s="749">
        <f t="shared" si="87"/>
        <v>3.8626467147167928E-2</v>
      </c>
      <c r="U128" s="353">
        <f t="shared" si="87"/>
        <v>0.16000134144599973</v>
      </c>
      <c r="V128" s="353">
        <f t="shared" si="87"/>
        <v>0.27419571096151479</v>
      </c>
      <c r="W128" s="353">
        <f t="shared" si="87"/>
        <v>1.6860014398252026</v>
      </c>
    </row>
    <row r="129" spans="2:23" s="353" customFormat="1">
      <c r="B129" s="414">
        <v>4.1807453984921095</v>
      </c>
      <c r="C129" s="353">
        <v>280</v>
      </c>
      <c r="D129" s="353">
        <f t="shared" ref="D129:W129" si="88">LOG(D92)</f>
        <v>0.36709024289526293</v>
      </c>
      <c r="E129" s="353">
        <f t="shared" si="88"/>
        <v>0.25629043222992404</v>
      </c>
      <c r="F129" s="353">
        <f t="shared" si="88"/>
        <v>0.58637890827976669</v>
      </c>
      <c r="G129" s="353">
        <f t="shared" si="88"/>
        <v>-0.21176856858047702</v>
      </c>
      <c r="H129" s="353">
        <f t="shared" si="88"/>
        <v>0.80206770153802165</v>
      </c>
      <c r="I129" s="353">
        <f t="shared" si="88"/>
        <v>0.5093612774430708</v>
      </c>
      <c r="J129" s="353">
        <f t="shared" si="88"/>
        <v>-6.8750457609033935E-2</v>
      </c>
      <c r="K129" s="353">
        <f t="shared" si="88"/>
        <v>0.1608877546192839</v>
      </c>
      <c r="L129" s="353">
        <f t="shared" si="88"/>
        <v>0.50987195767431737</v>
      </c>
      <c r="M129" s="353">
        <f t="shared" si="88"/>
        <v>0.32872757208689207</v>
      </c>
      <c r="N129" s="353">
        <f t="shared" si="88"/>
        <v>7.3839041882742346E-2</v>
      </c>
      <c r="O129" s="353">
        <f t="shared" si="88"/>
        <v>0.25513218615172673</v>
      </c>
      <c r="P129" s="353">
        <f t="shared" si="88"/>
        <v>0.15614780347718779</v>
      </c>
      <c r="Q129" s="353">
        <f t="shared" si="88"/>
        <v>0.38524461842418045</v>
      </c>
      <c r="R129" s="353">
        <f t="shared" si="88"/>
        <v>0.36409502027265545</v>
      </c>
      <c r="S129" s="353">
        <f t="shared" si="88"/>
        <v>0.18618382698672692</v>
      </c>
      <c r="T129" s="749">
        <f t="shared" si="88"/>
        <v>3.2123874625758775E-2</v>
      </c>
      <c r="U129" s="353">
        <f t="shared" si="88"/>
        <v>-2.0451752258398245E-3</v>
      </c>
      <c r="V129" s="353">
        <f t="shared" si="88"/>
        <v>0.22073443075026897</v>
      </c>
      <c r="W129" s="353">
        <f t="shared" si="88"/>
        <v>1.605006308250055</v>
      </c>
    </row>
    <row r="130" spans="2:23" s="353" customFormat="1">
      <c r="B130" s="414">
        <v>4.2682582340470008</v>
      </c>
      <c r="C130" s="353">
        <v>281</v>
      </c>
      <c r="D130" s="353">
        <f t="shared" ref="D130:W130" si="89">LOG(D93)</f>
        <v>0.15325595882108153</v>
      </c>
      <c r="E130" s="353">
        <f t="shared" si="89"/>
        <v>0.16373238238581417</v>
      </c>
      <c r="F130" s="353">
        <f t="shared" si="89"/>
        <v>0.13146388514688159</v>
      </c>
      <c r="G130" s="353">
        <f t="shared" si="89"/>
        <v>-0.26232538740541744</v>
      </c>
      <c r="H130" s="353">
        <f t="shared" si="89"/>
        <v>0.63068865443513</v>
      </c>
      <c r="I130" s="353">
        <f t="shared" si="89"/>
        <v>0.43929866095096681</v>
      </c>
      <c r="J130" s="353">
        <f t="shared" si="89"/>
        <v>-8.042340257331744E-2</v>
      </c>
      <c r="K130" s="353">
        <f t="shared" si="89"/>
        <v>6.904066260798318E-2</v>
      </c>
      <c r="L130" s="353">
        <f t="shared" si="89"/>
        <v>0.2850211732031776</v>
      </c>
      <c r="M130" s="353">
        <f t="shared" si="89"/>
        <v>0.22703216081760796</v>
      </c>
      <c r="N130" s="353">
        <f t="shared" si="89"/>
        <v>-1.6843156319479975E-2</v>
      </c>
      <c r="O130" s="353">
        <f t="shared" si="89"/>
        <v>0.17856428597808655</v>
      </c>
      <c r="P130" s="353">
        <f t="shared" si="89"/>
        <v>7.189799884124505E-2</v>
      </c>
      <c r="Q130" s="353">
        <f t="shared" si="89"/>
        <v>0.28736539244811304</v>
      </c>
      <c r="R130" s="353">
        <f t="shared" si="89"/>
        <v>0.17393325886199032</v>
      </c>
      <c r="S130" s="353">
        <f t="shared" si="89"/>
        <v>0.85681261951018994</v>
      </c>
      <c r="T130" s="749">
        <f t="shared" si="89"/>
        <v>1.8881166368664111E-2</v>
      </c>
      <c r="U130" s="353">
        <f t="shared" si="89"/>
        <v>-0.12032598042937567</v>
      </c>
      <c r="V130" s="353">
        <f t="shared" si="89"/>
        <v>0.13132949262057944</v>
      </c>
      <c r="W130" s="353">
        <f t="shared" si="89"/>
        <v>1.5421931230544201</v>
      </c>
    </row>
    <row r="131" spans="2:23" s="353" customFormat="1">
      <c r="B131" s="414">
        <v>4.2158024691358023</v>
      </c>
      <c r="C131" s="353">
        <v>282</v>
      </c>
      <c r="D131" s="353">
        <f t="shared" ref="D131:W131" si="90">LOG(D94)</f>
        <v>0.31815647031266192</v>
      </c>
      <c r="E131" s="353">
        <f t="shared" si="90"/>
        <v>0.39861253729048257</v>
      </c>
      <c r="F131" s="353">
        <f t="shared" si="90"/>
        <v>0.70827574799486281</v>
      </c>
      <c r="G131" s="353">
        <f t="shared" si="90"/>
        <v>-0.12613574622662682</v>
      </c>
      <c r="H131" s="353">
        <f t="shared" si="90"/>
        <v>0.7332835568272339</v>
      </c>
      <c r="I131" s="353">
        <f t="shared" si="90"/>
        <v>0.42465113788833764</v>
      </c>
      <c r="J131" s="353">
        <f t="shared" si="90"/>
        <v>-3.5909891217763432E-2</v>
      </c>
      <c r="K131" s="353">
        <f t="shared" si="90"/>
        <v>0.27576838375481588</v>
      </c>
      <c r="L131" s="353">
        <f t="shared" si="90"/>
        <v>0.54448390663543056</v>
      </c>
      <c r="M131" s="353">
        <f t="shared" si="90"/>
        <v>0.56419243789537843</v>
      </c>
      <c r="N131" s="353">
        <f t="shared" si="90"/>
        <v>0.27413077891855409</v>
      </c>
      <c r="O131" s="353">
        <f t="shared" si="90"/>
        <v>0.41959536638091438</v>
      </c>
      <c r="P131" s="353">
        <f t="shared" si="90"/>
        <v>0.27476979611223618</v>
      </c>
      <c r="Q131" s="353">
        <f t="shared" si="90"/>
        <v>0.5027746118489107</v>
      </c>
      <c r="R131" s="353">
        <f t="shared" si="90"/>
        <v>0.22879630910024631</v>
      </c>
      <c r="S131" s="353">
        <f t="shared" si="90"/>
        <v>0.22137196254293046</v>
      </c>
      <c r="T131" s="353">
        <f t="shared" si="90"/>
        <v>0.18245620317757644</v>
      </c>
      <c r="U131" s="353">
        <f t="shared" si="90"/>
        <v>0.1139081165225878</v>
      </c>
      <c r="V131" s="353">
        <f t="shared" si="90"/>
        <v>0.3661608969567251</v>
      </c>
      <c r="W131" s="353">
        <f t="shared" si="90"/>
        <v>1.6680512776549625</v>
      </c>
    </row>
    <row r="132" spans="2:23" s="353" customFormat="1">
      <c r="B132" s="414">
        <v>3.9966049382716049</v>
      </c>
      <c r="C132" s="353">
        <v>283</v>
      </c>
      <c r="D132" s="353">
        <f t="shared" ref="D132:W132" si="91">LOG(D95)</f>
        <v>0.30106870065687569</v>
      </c>
      <c r="E132" s="353">
        <f t="shared" si="91"/>
        <v>0.27179957350357742</v>
      </c>
      <c r="F132" s="353">
        <f t="shared" si="91"/>
        <v>0.67638368098232438</v>
      </c>
      <c r="G132" s="353">
        <f t="shared" si="91"/>
        <v>-0.19707237524920485</v>
      </c>
      <c r="H132" s="353">
        <f t="shared" si="91"/>
        <v>0.68777157324656424</v>
      </c>
      <c r="I132" s="353">
        <f t="shared" si="91"/>
        <v>0.33739717354610377</v>
      </c>
      <c r="J132" s="353">
        <f t="shared" si="91"/>
        <v>-8.8451598875787962E-2</v>
      </c>
      <c r="K132" s="353">
        <f t="shared" si="91"/>
        <v>0.23481072359928981</v>
      </c>
      <c r="L132" s="353">
        <f t="shared" si="91"/>
        <v>0.56562475322475581</v>
      </c>
      <c r="M132" s="353">
        <f t="shared" si="91"/>
        <v>0.58742516264154854</v>
      </c>
      <c r="N132" s="353">
        <f t="shared" si="91"/>
        <v>8.2292933231108534E-2</v>
      </c>
      <c r="O132" s="353">
        <f t="shared" si="91"/>
        <v>0.26572649385934632</v>
      </c>
      <c r="P132" s="353">
        <f t="shared" si="91"/>
        <v>0.22480123328979315</v>
      </c>
      <c r="Q132" s="353">
        <f t="shared" si="91"/>
        <v>0.43864784371388604</v>
      </c>
      <c r="R132" s="353">
        <f t="shared" si="91"/>
        <v>0.23190520481264407</v>
      </c>
      <c r="S132" s="353">
        <f t="shared" si="91"/>
        <v>0.28418530502943046</v>
      </c>
      <c r="T132" s="353">
        <f t="shared" si="91"/>
        <v>0.13448603823501451</v>
      </c>
      <c r="U132" s="353">
        <f t="shared" si="91"/>
        <v>2.8421187103430199E-2</v>
      </c>
      <c r="V132" s="353">
        <f t="shared" si="91"/>
        <v>0.30512151236529861</v>
      </c>
      <c r="W132" s="353">
        <f t="shared" si="91"/>
        <v>1.6225563618732854</v>
      </c>
    </row>
    <row r="133" spans="2:23" s="336" customFormat="1">
      <c r="B133" s="381">
        <v>3.6435802469135803</v>
      </c>
      <c r="C133" s="336">
        <v>284</v>
      </c>
      <c r="D133" s="336">
        <f t="shared" ref="D133:W133" si="92">LOG(D98)</f>
        <v>0.39290904767063556</v>
      </c>
      <c r="E133" s="336">
        <f t="shared" si="92"/>
        <v>0.47282904247849022</v>
      </c>
      <c r="F133" s="336">
        <f t="shared" si="92"/>
        <v>0.6491128690933804</v>
      </c>
      <c r="G133" s="336">
        <f t="shared" si="92"/>
        <v>-0.17299369097064671</v>
      </c>
      <c r="H133" s="336">
        <f t="shared" si="92"/>
        <v>0.87091074047392203</v>
      </c>
      <c r="I133" s="336">
        <f t="shared" si="92"/>
        <v>0.53617808396753619</v>
      </c>
      <c r="J133" s="336">
        <f t="shared" si="92"/>
        <v>7.8149239275439195E-2</v>
      </c>
      <c r="K133" s="336">
        <f t="shared" si="92"/>
        <v>0.30595094982876248</v>
      </c>
      <c r="L133" s="336">
        <f t="shared" si="92"/>
        <v>0.56525126774228762</v>
      </c>
      <c r="M133" s="336">
        <f t="shared" si="92"/>
        <v>0.43631972250201817</v>
      </c>
      <c r="N133" s="336">
        <f t="shared" si="92"/>
        <v>0.1256321294683764</v>
      </c>
      <c r="O133" s="336">
        <f t="shared" si="92"/>
        <v>0.3025262599603224</v>
      </c>
      <c r="P133" s="336">
        <f t="shared" si="92"/>
        <v>0.38239716988604272</v>
      </c>
      <c r="Q133" s="336">
        <f t="shared" si="92"/>
        <v>0.63393064289198953</v>
      </c>
      <c r="R133" s="336">
        <f t="shared" si="92"/>
        <v>0.36575964782529663</v>
      </c>
      <c r="S133" s="336">
        <f t="shared" si="92"/>
        <v>0.44789063013857688</v>
      </c>
      <c r="T133" s="336">
        <f t="shared" si="92"/>
        <v>0.30660542437572835</v>
      </c>
      <c r="U133" s="336">
        <f t="shared" si="92"/>
        <v>0.27702860635564314</v>
      </c>
      <c r="V133" s="336">
        <f t="shared" si="92"/>
        <v>0.45580612003271165</v>
      </c>
      <c r="W133" s="336">
        <f t="shared" si="92"/>
        <v>1.7244581775951564</v>
      </c>
    </row>
    <row r="134" spans="2:23" s="336" customFormat="1">
      <c r="B134" s="381">
        <v>3.5767722117202267</v>
      </c>
      <c r="C134" s="336">
        <v>285</v>
      </c>
      <c r="D134" s="336">
        <f t="shared" ref="D134:W134" si="93">LOG(D99)</f>
        <v>0.42922409848375331</v>
      </c>
      <c r="E134" s="336">
        <f t="shared" si="93"/>
        <v>0.56922832108080079</v>
      </c>
      <c r="F134" s="336">
        <f t="shared" si="93"/>
        <v>0.71175344466146939</v>
      </c>
      <c r="G134" s="336">
        <f t="shared" si="93"/>
        <v>-9.3319920067482548E-2</v>
      </c>
      <c r="H134" s="336">
        <f t="shared" si="93"/>
        <v>1.0360348570627416</v>
      </c>
      <c r="I134" s="336">
        <f t="shared" si="93"/>
        <v>0.47783404372444283</v>
      </c>
      <c r="J134" s="336">
        <f t="shared" si="93"/>
        <v>0.13399449505932862</v>
      </c>
      <c r="K134" s="336">
        <f t="shared" si="93"/>
        <v>0.33976459125619052</v>
      </c>
      <c r="L134" s="336">
        <f t="shared" si="93"/>
        <v>0.57860246972889662</v>
      </c>
      <c r="M134" s="336">
        <f t="shared" si="93"/>
        <v>0.50140551680848078</v>
      </c>
      <c r="N134" s="336">
        <f t="shared" si="93"/>
        <v>1.7696718448505062E-3</v>
      </c>
      <c r="O134" s="336">
        <f t="shared" si="93"/>
        <v>0.25785219518723068</v>
      </c>
      <c r="P134" s="336">
        <f t="shared" si="93"/>
        <v>0.38432573129956105</v>
      </c>
      <c r="Q134" s="336">
        <f t="shared" si="93"/>
        <v>0.6177270712049866</v>
      </c>
      <c r="R134" s="336">
        <f t="shared" si="93"/>
        <v>0.50153577571438246</v>
      </c>
      <c r="S134" s="336">
        <f t="shared" si="93"/>
        <v>0.16574992345914186</v>
      </c>
      <c r="T134" s="336">
        <f t="shared" si="93"/>
        <v>0.26719263976760688</v>
      </c>
      <c r="U134" s="336">
        <f t="shared" si="93"/>
        <v>0.23655941477672468</v>
      </c>
      <c r="V134" s="336">
        <f t="shared" si="93"/>
        <v>0.41183048574202014</v>
      </c>
      <c r="W134" s="336">
        <f t="shared" si="93"/>
        <v>1.7551882562962997</v>
      </c>
    </row>
    <row r="135" spans="2:23" s="325" customFormat="1">
      <c r="B135" s="168">
        <v>3.7774691358024688</v>
      </c>
      <c r="C135" s="467">
        <v>286</v>
      </c>
      <c r="D135" s="325">
        <f t="shared" ref="D135:W135" si="94">LOG(D86)</f>
        <v>0.54057072468000178</v>
      </c>
      <c r="E135" s="325">
        <f t="shared" si="94"/>
        <v>0.59534641424626955</v>
      </c>
      <c r="F135" s="325">
        <f t="shared" si="94"/>
        <v>0.74288031677321775</v>
      </c>
      <c r="G135" s="325">
        <f t="shared" si="94"/>
        <v>-8.2354249206104707E-2</v>
      </c>
      <c r="H135" s="325">
        <f t="shared" si="94"/>
        <v>0.93999132054322088</v>
      </c>
      <c r="I135" s="325">
        <f t="shared" si="94"/>
        <v>0.73847329893014046</v>
      </c>
      <c r="J135" s="325">
        <f t="shared" si="94"/>
        <v>7.5991973762724888E-2</v>
      </c>
      <c r="K135" s="325">
        <f t="shared" si="94"/>
        <v>0.31234241050441708</v>
      </c>
      <c r="L135" s="325">
        <f t="shared" si="94"/>
        <v>0.60638821329015469</v>
      </c>
      <c r="M135" s="325">
        <f t="shared" si="94"/>
        <v>0.51039890905654162</v>
      </c>
      <c r="N135" s="325">
        <f t="shared" si="94"/>
        <v>0.11172118008094759</v>
      </c>
      <c r="O135" s="325">
        <f t="shared" si="94"/>
        <v>0.3264653764289896</v>
      </c>
      <c r="P135" s="325">
        <f t="shared" si="94"/>
        <v>0.38127125680852186</v>
      </c>
      <c r="Q135" s="325">
        <f t="shared" si="94"/>
        <v>0.60333990673509319</v>
      </c>
      <c r="R135" s="325">
        <f t="shared" si="94"/>
        <v>0.57907204958402847</v>
      </c>
      <c r="S135" s="325">
        <f t="shared" si="94"/>
        <v>0.39728514267517678</v>
      </c>
      <c r="T135" s="325">
        <f t="shared" si="94"/>
        <v>0.29928788588105515</v>
      </c>
      <c r="U135" s="325">
        <f t="shared" si="94"/>
        <v>0.20572953989895182</v>
      </c>
      <c r="V135" s="325">
        <f t="shared" si="94"/>
        <v>0.48912681831045768</v>
      </c>
      <c r="W135" s="325">
        <f t="shared" si="94"/>
        <v>1.7873334700358303</v>
      </c>
    </row>
    <row r="136" spans="2:23" s="336" customFormat="1">
      <c r="B136" s="381">
        <v>3.6345699432892249</v>
      </c>
      <c r="C136" s="336">
        <v>288</v>
      </c>
      <c r="D136" s="336">
        <f t="shared" ref="D136:W136" si="95">LOG(D100)</f>
        <v>0.45886014289073779</v>
      </c>
      <c r="E136" s="336">
        <f t="shared" si="95"/>
        <v>0.59823354911635906</v>
      </c>
      <c r="F136" s="336">
        <f t="shared" si="95"/>
        <v>0.8671936756005737</v>
      </c>
      <c r="G136" s="336">
        <f t="shared" si="95"/>
        <v>-6.2118576739222907E-2</v>
      </c>
      <c r="H136" s="336">
        <f t="shared" si="95"/>
        <v>1.0348646913028912</v>
      </c>
      <c r="I136" s="336">
        <f t="shared" si="95"/>
        <v>0.5186908075126605</v>
      </c>
      <c r="J136" s="336">
        <f t="shared" si="95"/>
        <v>0.18873605359973281</v>
      </c>
      <c r="K136" s="336">
        <f t="shared" si="95"/>
        <v>0.42204733246876003</v>
      </c>
      <c r="L136" s="336">
        <f t="shared" si="95"/>
        <v>0.6596625231357689</v>
      </c>
      <c r="M136" s="336">
        <f t="shared" si="95"/>
        <v>0.54931796655422072</v>
      </c>
      <c r="N136" s="336">
        <f t="shared" si="95"/>
        <v>-2.7250761627654635E-2</v>
      </c>
      <c r="O136" s="336">
        <f t="shared" si="95"/>
        <v>0.25669515769949847</v>
      </c>
      <c r="P136" s="336">
        <f t="shared" si="95"/>
        <v>0.45762746040049895</v>
      </c>
      <c r="Q136" s="336">
        <f t="shared" si="95"/>
        <v>0.70608482977169329</v>
      </c>
      <c r="R136" s="336">
        <f t="shared" si="95"/>
        <v>0.50095408182747381</v>
      </c>
      <c r="S136" s="336">
        <f t="shared" si="95"/>
        <v>0.45662165121497122</v>
      </c>
      <c r="T136" s="336">
        <f t="shared" si="95"/>
        <v>0.32178795318916925</v>
      </c>
      <c r="U136" s="336">
        <f t="shared" si="95"/>
        <v>0.34523018938756989</v>
      </c>
      <c r="V136" s="336">
        <f t="shared" si="95"/>
        <v>0.47166462422843547</v>
      </c>
      <c r="W136" s="336">
        <f t="shared" si="95"/>
        <v>1.8163026009228835</v>
      </c>
    </row>
    <row r="137" spans="2:23" s="336" customFormat="1">
      <c r="B137" s="381">
        <v>3.5651234567901233</v>
      </c>
      <c r="C137" s="336">
        <v>289</v>
      </c>
      <c r="D137" s="336">
        <f t="shared" ref="D137:W137" si="96">LOG(D101)</f>
        <v>0.61987350219542658</v>
      </c>
      <c r="E137" s="336">
        <f t="shared" si="96"/>
        <v>0.45250239610373993</v>
      </c>
      <c r="F137" s="336">
        <f t="shared" si="96"/>
        <v>0.74183381364421519</v>
      </c>
      <c r="G137" s="336">
        <f t="shared" si="96"/>
        <v>-2.6657407021895344E-2</v>
      </c>
      <c r="H137" s="336">
        <f t="shared" si="96"/>
        <v>1.0396559618815839</v>
      </c>
      <c r="I137" s="336">
        <f t="shared" si="96"/>
        <v>0.45847675370048124</v>
      </c>
      <c r="J137" s="336">
        <f t="shared" si="96"/>
        <v>8.8497094900832463E-2</v>
      </c>
      <c r="K137" s="336">
        <f t="shared" si="96"/>
        <v>0.34868057596643115</v>
      </c>
      <c r="L137" s="336">
        <f t="shared" si="96"/>
        <v>0.8219387494886552</v>
      </c>
      <c r="M137" s="336">
        <f t="shared" si="96"/>
        <v>0.3408325853767738</v>
      </c>
      <c r="N137" s="336">
        <f t="shared" si="96"/>
        <v>7.9843575183723148E-2</v>
      </c>
      <c r="O137" s="336">
        <f t="shared" si="96"/>
        <v>0.3308795544464368</v>
      </c>
      <c r="P137" s="336">
        <f t="shared" si="96"/>
        <v>0.46304392422069085</v>
      </c>
      <c r="Q137" s="336">
        <f t="shared" si="96"/>
        <v>0.6918882651749042</v>
      </c>
      <c r="R137" s="336">
        <f t="shared" si="96"/>
        <v>0.61640274466966316</v>
      </c>
      <c r="S137" s="336">
        <f t="shared" si="96"/>
        <v>0.42590497909643676</v>
      </c>
      <c r="T137" s="336">
        <f t="shared" si="96"/>
        <v>0.23271325456386463</v>
      </c>
      <c r="U137" s="336">
        <f t="shared" si="96"/>
        <v>0.30423479296662004</v>
      </c>
      <c r="V137" s="336">
        <f t="shared" si="96"/>
        <v>0.4299726946050601</v>
      </c>
      <c r="W137" s="336">
        <f t="shared" si="96"/>
        <v>1.8059147986235347</v>
      </c>
    </row>
    <row r="138" spans="2:23" s="336" customFormat="1">
      <c r="B138" s="381">
        <v>3.7024691358024691</v>
      </c>
      <c r="C138" s="336">
        <v>290</v>
      </c>
      <c r="D138" s="336">
        <f t="shared" ref="D138:W138" si="97">LOG(D102)</f>
        <v>0.41496655063692023</v>
      </c>
      <c r="E138" s="336">
        <f t="shared" si="97"/>
        <v>0.36966640025248887</v>
      </c>
      <c r="F138" s="336">
        <f t="shared" si="97"/>
        <v>0.68697506497455685</v>
      </c>
      <c r="G138" s="336">
        <f t="shared" si="97"/>
        <v>-0.10533341242235444</v>
      </c>
      <c r="H138" s="336">
        <f t="shared" si="97"/>
        <v>0.97383681964281665</v>
      </c>
      <c r="I138" s="336">
        <f t="shared" si="97"/>
        <v>0.48464542165791136</v>
      </c>
      <c r="J138" s="336">
        <f t="shared" si="97"/>
        <v>1.2140319335039831E-2</v>
      </c>
      <c r="K138" s="336">
        <f t="shared" si="97"/>
        <v>0.22687168615415013</v>
      </c>
      <c r="L138" s="336">
        <f t="shared" si="97"/>
        <v>0.68544822929569327</v>
      </c>
      <c r="M138" s="336">
        <f t="shared" si="97"/>
        <v>0.30858977382388042</v>
      </c>
      <c r="N138" s="336">
        <f t="shared" si="97"/>
        <v>-2.4366590443394856E-2</v>
      </c>
      <c r="O138" s="336">
        <f t="shared" si="97"/>
        <v>0.23806412887102038</v>
      </c>
      <c r="P138" s="336">
        <f t="shared" si="97"/>
        <v>0.35219797026437433</v>
      </c>
      <c r="Q138" s="336">
        <f t="shared" si="97"/>
        <v>0.56907545757054945</v>
      </c>
      <c r="R138" s="336">
        <f t="shared" si="97"/>
        <v>0.50843704526602496</v>
      </c>
      <c r="S138" s="336">
        <f t="shared" si="97"/>
        <v>0.32728806700496255</v>
      </c>
      <c r="T138" s="336">
        <f t="shared" si="97"/>
        <v>0.18683583376039006</v>
      </c>
      <c r="U138" s="336">
        <f t="shared" si="97"/>
        <v>0.16357020258047689</v>
      </c>
      <c r="V138" s="336">
        <f t="shared" si="97"/>
        <v>0.33041805083984438</v>
      </c>
      <c r="W138" s="336">
        <f t="shared" si="97"/>
        <v>1.7140934136987214</v>
      </c>
    </row>
    <row r="139" spans="2:23" s="325" customFormat="1">
      <c r="B139" s="168">
        <v>3.495987654320988</v>
      </c>
      <c r="C139" s="469">
        <v>291</v>
      </c>
      <c r="D139" s="325">
        <f t="shared" ref="D139:W139" si="98">LOG(D87)</f>
        <v>0.53221181407456686</v>
      </c>
      <c r="E139" s="325">
        <f t="shared" si="98"/>
        <v>0.5537127386391012</v>
      </c>
      <c r="F139" s="325">
        <f t="shared" si="98"/>
        <v>0.72299371435863447</v>
      </c>
      <c r="G139" s="325">
        <f t="shared" si="98"/>
        <v>-0.18194616012921461</v>
      </c>
      <c r="H139" s="325">
        <f t="shared" si="98"/>
        <v>0.86616318296194517</v>
      </c>
      <c r="I139" s="325">
        <f t="shared" si="98"/>
        <v>0.78826251751239385</v>
      </c>
      <c r="J139" s="325">
        <f t="shared" si="98"/>
        <v>1.2359250632883248E-2</v>
      </c>
      <c r="K139" s="325">
        <f t="shared" si="98"/>
        <v>0.28937374206702704</v>
      </c>
      <c r="L139" s="325">
        <f t="shared" si="98"/>
        <v>0.65895484877390031</v>
      </c>
      <c r="M139" s="325">
        <f t="shared" si="98"/>
        <v>0.43567905825386977</v>
      </c>
      <c r="N139" s="325">
        <f t="shared" si="98"/>
        <v>-1.4767660427451748E-2</v>
      </c>
      <c r="O139" s="325">
        <f t="shared" si="98"/>
        <v>0.2106681719519263</v>
      </c>
      <c r="P139" s="325">
        <f t="shared" si="98"/>
        <v>0.30822189301808095</v>
      </c>
      <c r="Q139" s="325">
        <f t="shared" si="98"/>
        <v>0.51763905946838851</v>
      </c>
      <c r="R139" s="325">
        <f t="shared" si="98"/>
        <v>0.65323796100642473</v>
      </c>
      <c r="S139" s="325">
        <f t="shared" si="98"/>
        <v>0.36424575370906953</v>
      </c>
      <c r="T139" s="325">
        <f t="shared" si="98"/>
        <v>0.22454820874575018</v>
      </c>
      <c r="U139" s="325">
        <f t="shared" si="98"/>
        <v>0.10035786845162953</v>
      </c>
      <c r="V139" s="325">
        <f t="shared" si="98"/>
        <v>0.43090304615985664</v>
      </c>
      <c r="W139" s="325">
        <f t="shared" si="98"/>
        <v>1.7562089762880351</v>
      </c>
    </row>
    <row r="140" spans="2:23" s="325" customFormat="1">
      <c r="B140" s="168">
        <v>3.5113580246913583</v>
      </c>
      <c r="C140" s="468">
        <v>292</v>
      </c>
      <c r="D140" s="325">
        <f t="shared" ref="D140:W140" si="99">LOG(D88)</f>
        <v>0.35163768642796467</v>
      </c>
      <c r="E140" s="325">
        <f t="shared" si="99"/>
        <v>0.38678822677735758</v>
      </c>
      <c r="F140" s="325">
        <f t="shared" si="99"/>
        <v>0.60485882979402084</v>
      </c>
      <c r="G140" s="325">
        <f t="shared" si="99"/>
        <v>-5.4336923798719197E-2</v>
      </c>
      <c r="H140" s="325">
        <f t="shared" si="99"/>
        <v>0.91249354725820608</v>
      </c>
      <c r="I140" s="325">
        <f t="shared" si="99"/>
        <v>0.60336844500858611</v>
      </c>
      <c r="J140" s="325">
        <f t="shared" si="99"/>
        <v>-0.11687304066159297</v>
      </c>
      <c r="K140" s="325">
        <f t="shared" si="99"/>
        <v>0.21223608067750552</v>
      </c>
      <c r="L140" s="325">
        <f t="shared" si="99"/>
        <v>0.54550772942803771</v>
      </c>
      <c r="M140" s="325">
        <f t="shared" si="99"/>
        <v>0.27242789311766386</v>
      </c>
      <c r="N140" s="325">
        <f t="shared" si="99"/>
        <v>7.0190967830091183E-2</v>
      </c>
      <c r="O140" s="325">
        <f t="shared" si="99"/>
        <v>0.31340514052952789</v>
      </c>
      <c r="P140" s="325">
        <f t="shared" si="99"/>
        <v>0.26816929598638695</v>
      </c>
      <c r="Q140" s="325">
        <f t="shared" si="99"/>
        <v>0.46143461394516028</v>
      </c>
      <c r="R140" s="325">
        <f t="shared" si="99"/>
        <v>0.58395342770049186</v>
      </c>
      <c r="S140" s="325">
        <f t="shared" si="99"/>
        <v>0.41370534689698746</v>
      </c>
      <c r="T140" s="325">
        <f t="shared" si="99"/>
        <v>0.18680906722763194</v>
      </c>
      <c r="U140" s="325">
        <f t="shared" si="99"/>
        <v>1.6749214252625964E-2</v>
      </c>
      <c r="V140" s="325">
        <f t="shared" si="99"/>
        <v>0.35856224069182713</v>
      </c>
      <c r="W140" s="325">
        <f t="shared" si="99"/>
        <v>1.6886676277416242</v>
      </c>
    </row>
    <row r="141" spans="2:23" s="325" customFormat="1">
      <c r="B141" s="168">
        <v>3.5148148148148151</v>
      </c>
      <c r="C141" s="468">
        <v>293</v>
      </c>
      <c r="D141" s="325">
        <f t="shared" ref="D141:W141" si="100">LOG(D89)</f>
        <v>0.47652749116307924</v>
      </c>
      <c r="E141" s="325">
        <f t="shared" si="100"/>
        <v>0.48928703011942182</v>
      </c>
      <c r="F141" s="325">
        <f t="shared" si="100"/>
        <v>0.7325889638266101</v>
      </c>
      <c r="G141" s="325">
        <f t="shared" si="100"/>
        <v>-0.30925856086933656</v>
      </c>
      <c r="H141" s="325">
        <f t="shared" si="100"/>
        <v>0.7888728922998699</v>
      </c>
      <c r="I141" s="325">
        <f t="shared" si="100"/>
        <v>0.71299698710297188</v>
      </c>
      <c r="J141" s="325">
        <f t="shared" si="100"/>
        <v>-5.7998761744006637E-2</v>
      </c>
      <c r="K141" s="325">
        <f t="shared" si="100"/>
        <v>0.21551306696911651</v>
      </c>
      <c r="L141" s="325">
        <f t="shared" si="100"/>
        <v>0.53505200619873949</v>
      </c>
      <c r="M141" s="325">
        <f t="shared" si="100"/>
        <v>0.40021526648078887</v>
      </c>
      <c r="N141" s="325">
        <f t="shared" si="100"/>
        <v>-6.5607308098564285E-2</v>
      </c>
      <c r="O141" s="325">
        <f t="shared" si="100"/>
        <v>0.13046445390618694</v>
      </c>
      <c r="P141" s="325">
        <f t="shared" si="100"/>
        <v>0.27857363884953751</v>
      </c>
      <c r="Q141" s="325">
        <f t="shared" si="100"/>
        <v>0.48204914811941618</v>
      </c>
      <c r="R141" s="325">
        <f t="shared" si="100"/>
        <v>0.59100253214748799</v>
      </c>
      <c r="S141" s="325">
        <f t="shared" si="100"/>
        <v>0.39608263184406889</v>
      </c>
      <c r="T141" s="325">
        <f t="shared" si="100"/>
        <v>0.25577436568458406</v>
      </c>
      <c r="U141" s="325">
        <f t="shared" si="100"/>
        <v>5.500416370546158E-2</v>
      </c>
      <c r="V141" s="325">
        <f t="shared" si="100"/>
        <v>0.40099281726993841</v>
      </c>
      <c r="W141" s="325">
        <f t="shared" si="100"/>
        <v>1.7053004645516063</v>
      </c>
    </row>
    <row r="142" spans="2:23" s="325" customFormat="1">
      <c r="B142" s="168">
        <v>3.5342592592592599</v>
      </c>
      <c r="C142" s="468">
        <v>294</v>
      </c>
      <c r="D142" s="325">
        <f t="shared" ref="D142:W142" si="101">LOG(D90)</f>
        <v>0.4899853188725245</v>
      </c>
      <c r="E142" s="325">
        <f t="shared" si="101"/>
        <v>0.50532006602119417</v>
      </c>
      <c r="F142" s="325">
        <f t="shared" si="101"/>
        <v>0.65638981301006649</v>
      </c>
      <c r="G142" s="325">
        <f t="shared" si="101"/>
        <v>-0.37369469881305767</v>
      </c>
      <c r="H142" s="325">
        <f t="shared" si="101"/>
        <v>0.8758786159644395</v>
      </c>
      <c r="I142" s="325">
        <f t="shared" si="101"/>
        <v>0.76975206568063514</v>
      </c>
      <c r="J142" s="325">
        <f t="shared" si="101"/>
        <v>-3.3872464324908695E-2</v>
      </c>
      <c r="K142" s="325">
        <f t="shared" si="101"/>
        <v>0.21845841537019542</v>
      </c>
      <c r="L142" s="325">
        <f t="shared" si="101"/>
        <v>0.52411909675622603</v>
      </c>
      <c r="M142" s="325">
        <f t="shared" si="101"/>
        <v>0.31601111531797388</v>
      </c>
      <c r="N142" s="325">
        <f t="shared" si="101"/>
        <v>-8.1187944004758636E-2</v>
      </c>
      <c r="O142" s="325">
        <f t="shared" si="101"/>
        <v>9.7763021526235325E-2</v>
      </c>
      <c r="P142" s="325">
        <f t="shared" si="101"/>
        <v>0.24959059556551794</v>
      </c>
      <c r="Q142" s="325">
        <f t="shared" si="101"/>
        <v>0.44886656713761303</v>
      </c>
      <c r="R142" s="325">
        <f t="shared" si="101"/>
        <v>0.62790252246236278</v>
      </c>
      <c r="S142" s="325">
        <f t="shared" si="101"/>
        <v>0.34151849221540814</v>
      </c>
      <c r="T142" s="325">
        <f t="shared" si="101"/>
        <v>0.17564725328984729</v>
      </c>
      <c r="U142" s="325">
        <f t="shared" si="101"/>
        <v>1.4702449432110304E-2</v>
      </c>
      <c r="V142" s="325">
        <f t="shared" si="101"/>
        <v>0.36125749701518561</v>
      </c>
      <c r="W142" s="325">
        <f t="shared" si="101"/>
        <v>1.7039707801534183</v>
      </c>
    </row>
    <row r="143" spans="2:23" s="353" customFormat="1">
      <c r="B143" s="176">
        <v>4.1586419753086421</v>
      </c>
      <c r="C143" s="122">
        <v>300</v>
      </c>
      <c r="D143" s="353">
        <f t="shared" ref="D143:W143" si="102">LOG(D96)</f>
        <v>0.2563161594895158</v>
      </c>
      <c r="E143" s="353">
        <f t="shared" si="102"/>
        <v>0.33926591369735332</v>
      </c>
      <c r="F143" s="353">
        <f t="shared" si="102"/>
        <v>0.51914791466585031</v>
      </c>
      <c r="G143" s="353">
        <f t="shared" si="102"/>
        <v>-0.20677054889773969</v>
      </c>
      <c r="H143" s="353">
        <f t="shared" si="102"/>
        <v>0.71914970464417927</v>
      </c>
      <c r="I143" s="353">
        <f t="shared" si="102"/>
        <v>0.13976246434652051</v>
      </c>
      <c r="J143" s="353">
        <f t="shared" si="102"/>
        <v>-0.19884787595183115</v>
      </c>
      <c r="K143" s="353">
        <f t="shared" si="102"/>
        <v>0.10969987813657872</v>
      </c>
      <c r="L143" s="353">
        <f t="shared" si="102"/>
        <v>0.4152222394040328</v>
      </c>
      <c r="M143" s="353">
        <f t="shared" si="102"/>
        <v>0.24025766792194572</v>
      </c>
      <c r="N143" s="353">
        <f t="shared" si="102"/>
        <v>-0.27703107120783876</v>
      </c>
      <c r="O143" s="353">
        <f t="shared" si="102"/>
        <v>6.0548489523726448E-2</v>
      </c>
      <c r="P143" s="353">
        <f t="shared" si="102"/>
        <v>0.17199974236839516</v>
      </c>
      <c r="Q143" s="353">
        <f t="shared" si="102"/>
        <v>0.40043763320655901</v>
      </c>
      <c r="R143" s="353">
        <f t="shared" si="102"/>
        <v>0.15170591180254522</v>
      </c>
      <c r="S143" s="353">
        <f t="shared" si="102"/>
        <v>0.2452919001850897</v>
      </c>
      <c r="T143" s="749">
        <f t="shared" si="102"/>
        <v>5.749388159615812E-2</v>
      </c>
      <c r="U143" s="353">
        <f t="shared" si="102"/>
        <v>1.2197600420150369E-2</v>
      </c>
      <c r="V143" s="353">
        <f t="shared" si="102"/>
        <v>0.20441226231854809</v>
      </c>
      <c r="W143" s="353">
        <f t="shared" si="102"/>
        <v>1.523991460886259</v>
      </c>
    </row>
    <row r="145" spans="2:23">
      <c r="B145" s="11"/>
      <c r="C145" s="51" t="s">
        <v>711</v>
      </c>
    </row>
    <row r="146" spans="2:23" ht="14.25">
      <c r="B146" s="251" t="s">
        <v>268</v>
      </c>
      <c r="C146" s="251" t="s">
        <v>440</v>
      </c>
      <c r="D146" s="251">
        <f>AVERAGE(D114:D119,D135)</f>
        <v>0.60514295194335499</v>
      </c>
      <c r="E146" s="251">
        <f t="shared" ref="E146:W146" si="103">AVERAGE(E114:E119,E135)</f>
        <v>0.62001295796005085</v>
      </c>
      <c r="F146" s="251">
        <f t="shared" si="103"/>
        <v>0.81353371415955711</v>
      </c>
      <c r="G146" s="251">
        <f t="shared" si="103"/>
        <v>-0.10983525351229809</v>
      </c>
      <c r="H146" s="251">
        <f t="shared" si="103"/>
        <v>0.99316354720939359</v>
      </c>
      <c r="I146" s="251">
        <f t="shared" si="103"/>
        <v>0.75788857520704866</v>
      </c>
      <c r="J146" s="251">
        <f t="shared" si="103"/>
        <v>0.12528881927589014</v>
      </c>
      <c r="K146" s="251">
        <f t="shared" si="103"/>
        <v>0.41035696453557308</v>
      </c>
      <c r="L146" s="251">
        <f t="shared" si="103"/>
        <v>0.72612666449485019</v>
      </c>
      <c r="M146" s="251">
        <f t="shared" si="103"/>
        <v>0.56326317082384614</v>
      </c>
      <c r="N146" s="251">
        <f t="shared" si="103"/>
        <v>0.12375609330733535</v>
      </c>
      <c r="O146" s="251">
        <f t="shared" si="103"/>
        <v>0.32606611456027362</v>
      </c>
      <c r="P146" s="251">
        <f t="shared" si="103"/>
        <v>0.45909143144276809</v>
      </c>
      <c r="Q146" s="251">
        <f t="shared" si="103"/>
        <v>0.67486672391123326</v>
      </c>
      <c r="R146" s="251">
        <f t="shared" si="103"/>
        <v>0.60667454677495114</v>
      </c>
      <c r="S146" s="251">
        <f t="shared" si="103"/>
        <v>0.43264143527212845</v>
      </c>
      <c r="T146" s="251">
        <f t="shared" si="103"/>
        <v>0.37105823286973016</v>
      </c>
      <c r="U146" s="251">
        <f t="shared" si="103"/>
        <v>0.26544615073781486</v>
      </c>
      <c r="V146" s="251">
        <f t="shared" si="103"/>
        <v>0.52375788564543735</v>
      </c>
      <c r="W146" s="251">
        <f t="shared" si="103"/>
        <v>1.842647195258788</v>
      </c>
    </row>
    <row r="147" spans="2:23" ht="14.25">
      <c r="B147" s="251"/>
      <c r="C147" s="251" t="s">
        <v>258</v>
      </c>
      <c r="D147" s="251">
        <f>AVERAGE(D120:D122,D140:D142)</f>
        <v>0.43910932477630488</v>
      </c>
      <c r="E147" s="251">
        <f t="shared" ref="E147:W147" si="104">AVERAGE(E120:E122,E140:E142)</f>
        <v>0.44880094033999457</v>
      </c>
      <c r="F147" s="251">
        <f t="shared" si="104"/>
        <v>0.60465124441146412</v>
      </c>
      <c r="G147" s="251">
        <f t="shared" si="104"/>
        <v>-0.22176958731496252</v>
      </c>
      <c r="H147" s="251">
        <f t="shared" si="104"/>
        <v>0.84943957731944419</v>
      </c>
      <c r="I147" s="251">
        <f t="shared" si="104"/>
        <v>0.64867287395615025</v>
      </c>
      <c r="J147" s="251">
        <f t="shared" si="104"/>
        <v>-1.351283171287263E-2</v>
      </c>
      <c r="K147" s="251">
        <f t="shared" si="104"/>
        <v>0.21314639261351753</v>
      </c>
      <c r="L147" s="251">
        <f t="shared" si="104"/>
        <v>0.51493658161669853</v>
      </c>
      <c r="M147" s="251">
        <f t="shared" si="104"/>
        <v>0.36850985595787961</v>
      </c>
      <c r="N147" s="251">
        <f t="shared" si="104"/>
        <v>-1.7450610058021301E-2</v>
      </c>
      <c r="O147" s="251">
        <f t="shared" si="104"/>
        <v>0.19645862795444879</v>
      </c>
      <c r="P147" s="251">
        <f t="shared" si="104"/>
        <v>0.26609664062884625</v>
      </c>
      <c r="Q147" s="251">
        <f t="shared" si="104"/>
        <v>0.46113575283032526</v>
      </c>
      <c r="R147" s="251">
        <f t="shared" si="104"/>
        <v>0.5576771528299117</v>
      </c>
      <c r="S147" s="251">
        <f t="shared" si="104"/>
        <v>0.36196545090567039</v>
      </c>
      <c r="T147" s="251">
        <f t="shared" si="104"/>
        <v>0.20058117058787225</v>
      </c>
      <c r="U147" s="251">
        <f t="shared" si="104"/>
        <v>1.5620111954134945E-2</v>
      </c>
      <c r="V147" s="251">
        <f t="shared" si="104"/>
        <v>0.36048273425334942</v>
      </c>
      <c r="W147" s="251">
        <f t="shared" si="104"/>
        <v>1.6857280978652742</v>
      </c>
    </row>
    <row r="148" spans="2:23" ht="14.25">
      <c r="B148" s="251"/>
      <c r="C148" s="251" t="s">
        <v>509</v>
      </c>
      <c r="D148" s="251">
        <f>AVERAGE(D123:D127,D139)</f>
        <v>0.50853070956323221</v>
      </c>
      <c r="E148" s="251">
        <f t="shared" ref="E148:W148" si="105">AVERAGE(E123:E127,E139)</f>
        <v>0.51266423298534436</v>
      </c>
      <c r="F148" s="251">
        <f t="shared" si="105"/>
        <v>0.68820147774416973</v>
      </c>
      <c r="G148" s="251">
        <f t="shared" si="105"/>
        <v>-0.23267076199593487</v>
      </c>
      <c r="H148" s="251">
        <f t="shared" si="105"/>
        <v>0.87391921586418164</v>
      </c>
      <c r="I148" s="251">
        <f t="shared" si="105"/>
        <v>0.67705901261081314</v>
      </c>
      <c r="J148" s="251">
        <f t="shared" si="105"/>
        <v>4.2534144688496693E-2</v>
      </c>
      <c r="K148" s="251">
        <f t="shared" si="105"/>
        <v>0.28034797975451731</v>
      </c>
      <c r="L148" s="251">
        <f t="shared" si="105"/>
        <v>0.59088856568291581</v>
      </c>
      <c r="M148" s="251">
        <f t="shared" si="105"/>
        <v>0.44595965028769907</v>
      </c>
      <c r="N148" s="251">
        <f t="shared" si="105"/>
        <v>2.4427490516842926E-2</v>
      </c>
      <c r="O148" s="251">
        <f t="shared" si="105"/>
        <v>0.21827216910462774</v>
      </c>
      <c r="P148" s="251">
        <f t="shared" si="105"/>
        <v>0.33305922263966109</v>
      </c>
      <c r="Q148" s="251">
        <f t="shared" si="105"/>
        <v>0.55178737613118523</v>
      </c>
      <c r="R148" s="251">
        <f t="shared" si="105"/>
        <v>0.55977446573951228</v>
      </c>
      <c r="S148" s="251">
        <f t="shared" si="105"/>
        <v>0.35290615724321661</v>
      </c>
      <c r="T148" s="251">
        <f t="shared" si="105"/>
        <v>0.25651773271318207</v>
      </c>
      <c r="U148" s="251">
        <f t="shared" si="105"/>
        <v>0.14848947123655673</v>
      </c>
      <c r="V148" s="251">
        <f t="shared" si="105"/>
        <v>0.41417670651601374</v>
      </c>
      <c r="W148" s="251">
        <f t="shared" si="105"/>
        <v>1.736435136569151</v>
      </c>
    </row>
    <row r="149" spans="2:23" ht="14.25">
      <c r="B149" s="251"/>
      <c r="C149" s="251" t="s">
        <v>2</v>
      </c>
      <c r="D149" s="251">
        <f>AVERAGE(D128:D132)</f>
        <v>0.30488040959708973</v>
      </c>
      <c r="E149" s="251">
        <f t="shared" ref="E149:W149" si="106">AVERAGE(E128:E132)</f>
        <v>0.25981650809207679</v>
      </c>
      <c r="F149" s="251">
        <f t="shared" si="106"/>
        <v>0.54453343855358705</v>
      </c>
      <c r="G149" s="251">
        <f t="shared" si="106"/>
        <v>-0.17875033545034286</v>
      </c>
      <c r="H149" s="251">
        <f t="shared" si="106"/>
        <v>0.74894120922357321</v>
      </c>
      <c r="I149" s="251">
        <f t="shared" si="106"/>
        <v>0.43026537748030913</v>
      </c>
      <c r="J149" s="251">
        <f t="shared" si="106"/>
        <v>-6.1799823983996992E-2</v>
      </c>
      <c r="K149" s="251">
        <f t="shared" si="106"/>
        <v>0.19041260990931358</v>
      </c>
      <c r="L149" s="251">
        <f t="shared" si="106"/>
        <v>0.53166192287267255</v>
      </c>
      <c r="M149" s="251">
        <f t="shared" si="106"/>
        <v>0.41696337186374854</v>
      </c>
      <c r="N149" s="251">
        <f t="shared" si="106"/>
        <v>0.11277158735512641</v>
      </c>
      <c r="O149" s="251">
        <f t="shared" si="106"/>
        <v>0.29287106040643029</v>
      </c>
      <c r="P149" s="251">
        <f t="shared" si="106"/>
        <v>0.20479288868226062</v>
      </c>
      <c r="Q149" s="251">
        <f t="shared" si="106"/>
        <v>0.42971316550168071</v>
      </c>
      <c r="R149" s="251">
        <f t="shared" si="106"/>
        <v>0.29565508472596058</v>
      </c>
      <c r="S149" s="251">
        <f t="shared" si="106"/>
        <v>0.36599568025442503</v>
      </c>
      <c r="T149" s="251">
        <f t="shared" si="106"/>
        <v>8.1314749910836356E-2</v>
      </c>
      <c r="U149" s="251">
        <f t="shared" si="106"/>
        <v>3.5991897883360442E-2</v>
      </c>
      <c r="V149" s="251">
        <f t="shared" si="106"/>
        <v>0.25950840873087738</v>
      </c>
      <c r="W149" s="251">
        <f t="shared" si="106"/>
        <v>1.624761702131585</v>
      </c>
    </row>
    <row r="150" spans="2:23" ht="14.25">
      <c r="B150" s="251" t="s">
        <v>510</v>
      </c>
      <c r="C150" s="251" t="s">
        <v>510</v>
      </c>
      <c r="D150" s="251">
        <f>AVERAGE(D113,D133:D134,D136:D138)</f>
        <v>0.46502346349415374</v>
      </c>
      <c r="E150" s="251">
        <f t="shared" ref="E150:W150" si="107">AVERAGE(E113,E133:E134,E136:E138)</f>
        <v>0.51121803617407446</v>
      </c>
      <c r="F150" s="251">
        <f t="shared" si="107"/>
        <v>0.74718993726890715</v>
      </c>
      <c r="G150" s="251">
        <f t="shared" si="107"/>
        <v>-9.0381637682331747E-2</v>
      </c>
      <c r="H150" s="251">
        <f t="shared" si="107"/>
        <v>0.99392968277125482</v>
      </c>
      <c r="I150" s="251">
        <f t="shared" si="107"/>
        <v>0.51177465797859811</v>
      </c>
      <c r="J150" s="251">
        <f t="shared" si="107"/>
        <v>0.10951809678320723</v>
      </c>
      <c r="K150" s="251">
        <f t="shared" si="107"/>
        <v>0.34371241121537555</v>
      </c>
      <c r="L150" s="251">
        <f t="shared" si="107"/>
        <v>0.66728937728005144</v>
      </c>
      <c r="M150" s="251">
        <f t="shared" si="107"/>
        <v>0.46072386530114667</v>
      </c>
      <c r="N150" s="251">
        <f t="shared" si="107"/>
        <v>4.5918889273303544E-2</v>
      </c>
      <c r="O150" s="251">
        <f t="shared" si="107"/>
        <v>0.28627803561092752</v>
      </c>
      <c r="P150" s="251">
        <f t="shared" si="107"/>
        <v>0.42505001382751689</v>
      </c>
      <c r="Q150" s="251">
        <f t="shared" si="107"/>
        <v>0.65956223575294681</v>
      </c>
      <c r="R150" s="251">
        <f t="shared" si="107"/>
        <v>0.50041276407106472</v>
      </c>
      <c r="S150" s="251">
        <f t="shared" si="107"/>
        <v>0.33425825904442208</v>
      </c>
      <c r="T150" s="251">
        <f t="shared" si="107"/>
        <v>0.28979730620588395</v>
      </c>
      <c r="U150" s="251">
        <f t="shared" si="107"/>
        <v>0.27939299328376516</v>
      </c>
      <c r="V150" s="251">
        <f t="shared" si="107"/>
        <v>0.43956942714418795</v>
      </c>
      <c r="W150" s="251">
        <f t="shared" si="107"/>
        <v>1.7738539684721915</v>
      </c>
    </row>
  </sheetData>
  <mergeCells count="3">
    <mergeCell ref="A37:A41"/>
    <mergeCell ref="A72:A76"/>
    <mergeCell ref="A113:A11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11B0-2AD9-CE4F-955A-B792772C0756}">
  <sheetPr>
    <tabColor rgb="FF00B050"/>
  </sheetPr>
  <dimension ref="A1:BF138"/>
  <sheetViews>
    <sheetView zoomScale="101" workbookViewId="0">
      <selection activeCell="AO1" sqref="AO1:AQ1"/>
    </sheetView>
  </sheetViews>
  <sheetFormatPr defaultColWidth="10.75" defaultRowHeight="12.75"/>
  <cols>
    <col min="1" max="5" width="10.75" style="287"/>
    <col min="6" max="7" width="0" style="287" hidden="1" customWidth="1"/>
    <col min="8" max="8" width="11.75" style="287" customWidth="1"/>
    <col min="9" max="9" width="13.75" style="287" customWidth="1"/>
    <col min="10" max="10" width="14" style="287" customWidth="1"/>
    <col min="11" max="11" width="12.5" style="287" customWidth="1"/>
    <col min="12" max="17" width="10.75" style="287"/>
    <col min="18" max="18" width="14.75" style="287" customWidth="1"/>
    <col min="19" max="16384" width="10.75" style="287"/>
  </cols>
  <sheetData>
    <row r="1" spans="1:52">
      <c r="H1" s="287" t="s">
        <v>712</v>
      </c>
      <c r="I1" s="287" t="s">
        <v>713</v>
      </c>
      <c r="J1" s="287" t="s">
        <v>714</v>
      </c>
      <c r="K1" s="287" t="s">
        <v>715</v>
      </c>
      <c r="L1" s="287" t="s">
        <v>716</v>
      </c>
      <c r="M1" s="287" t="s">
        <v>717</v>
      </c>
      <c r="N1" s="287" t="s">
        <v>718</v>
      </c>
      <c r="O1" s="287" t="s">
        <v>719</v>
      </c>
      <c r="P1" s="287" t="s">
        <v>720</v>
      </c>
      <c r="Q1" s="287" t="s">
        <v>721</v>
      </c>
      <c r="R1" s="287" t="s">
        <v>722</v>
      </c>
      <c r="S1" s="287" t="s">
        <v>723</v>
      </c>
      <c r="T1" s="287" t="s">
        <v>724</v>
      </c>
      <c r="U1" s="287" t="s">
        <v>725</v>
      </c>
      <c r="V1" s="287" t="s">
        <v>726</v>
      </c>
      <c r="W1" s="287" t="s">
        <v>727</v>
      </c>
      <c r="X1" s="287" t="s">
        <v>728</v>
      </c>
      <c r="Y1" s="287" t="s">
        <v>729</v>
      </c>
      <c r="Z1" s="287" t="s">
        <v>730</v>
      </c>
      <c r="AA1" s="287" t="s">
        <v>731</v>
      </c>
      <c r="AB1" s="287" t="s">
        <v>732</v>
      </c>
      <c r="AC1" s="287" t="s">
        <v>733</v>
      </c>
      <c r="AD1" s="287" t="s">
        <v>734</v>
      </c>
      <c r="AE1" s="287" t="s">
        <v>735</v>
      </c>
      <c r="AF1" s="287" t="s">
        <v>736</v>
      </c>
      <c r="AG1" s="287" t="s">
        <v>737</v>
      </c>
      <c r="AH1" s="287" t="s">
        <v>738</v>
      </c>
      <c r="AI1" s="287" t="s">
        <v>739</v>
      </c>
      <c r="AJ1" s="287" t="s">
        <v>740</v>
      </c>
      <c r="AK1" s="287" t="s">
        <v>741</v>
      </c>
      <c r="AL1" s="287" t="s">
        <v>742</v>
      </c>
      <c r="AM1" s="287" t="s">
        <v>743</v>
      </c>
      <c r="AN1" s="287" t="s">
        <v>744</v>
      </c>
      <c r="AO1" s="287" t="s">
        <v>745</v>
      </c>
      <c r="AP1" s="287" t="s">
        <v>746</v>
      </c>
      <c r="AQ1" s="287" t="s">
        <v>747</v>
      </c>
      <c r="AS1" s="288"/>
      <c r="AT1" s="288"/>
    </row>
    <row r="2" spans="1:52" ht="46.5">
      <c r="A2" s="289" t="s">
        <v>748</v>
      </c>
      <c r="B2" s="289" t="s">
        <v>749</v>
      </c>
      <c r="C2" s="289"/>
      <c r="D2" s="289" t="s">
        <v>750</v>
      </c>
      <c r="E2" s="290" t="s">
        <v>751</v>
      </c>
      <c r="F2" s="290" t="s">
        <v>752</v>
      </c>
      <c r="G2" s="290" t="s">
        <v>753</v>
      </c>
      <c r="H2" s="289" t="s">
        <v>754</v>
      </c>
      <c r="I2" s="289" t="s">
        <v>755</v>
      </c>
      <c r="J2" s="289" t="s">
        <v>755</v>
      </c>
      <c r="K2" s="289" t="s">
        <v>755</v>
      </c>
      <c r="L2" s="289" t="s">
        <v>755</v>
      </c>
      <c r="M2" s="289" t="s">
        <v>755</v>
      </c>
      <c r="N2" s="289" t="s">
        <v>755</v>
      </c>
      <c r="O2" s="289" t="s">
        <v>755</v>
      </c>
      <c r="P2" s="289" t="s">
        <v>755</v>
      </c>
      <c r="Q2" s="289" t="s">
        <v>755</v>
      </c>
      <c r="R2" s="457" t="s">
        <v>755</v>
      </c>
      <c r="S2" s="457" t="s">
        <v>755</v>
      </c>
      <c r="T2" s="457" t="s">
        <v>755</v>
      </c>
      <c r="U2" s="457" t="s">
        <v>755</v>
      </c>
      <c r="V2" s="457" t="s">
        <v>755</v>
      </c>
      <c r="W2" s="457" t="s">
        <v>755</v>
      </c>
      <c r="X2" s="457" t="s">
        <v>755</v>
      </c>
      <c r="Y2" s="457" t="s">
        <v>755</v>
      </c>
      <c r="Z2" s="457" t="s">
        <v>755</v>
      </c>
      <c r="AA2" s="289" t="s">
        <v>755</v>
      </c>
      <c r="AB2" s="289" t="s">
        <v>755</v>
      </c>
      <c r="AC2" s="289" t="s">
        <v>755</v>
      </c>
      <c r="AD2" s="289" t="s">
        <v>755</v>
      </c>
      <c r="AE2" s="289" t="s">
        <v>755</v>
      </c>
      <c r="AF2" s="289" t="s">
        <v>755</v>
      </c>
      <c r="AG2" s="289" t="s">
        <v>755</v>
      </c>
      <c r="AH2" s="289" t="s">
        <v>755</v>
      </c>
      <c r="AI2" s="289" t="s">
        <v>755</v>
      </c>
      <c r="AJ2" s="289" t="s">
        <v>755</v>
      </c>
      <c r="AK2" s="289" t="s">
        <v>755</v>
      </c>
      <c r="AL2" s="289" t="s">
        <v>755</v>
      </c>
      <c r="AM2" s="289" t="s">
        <v>755</v>
      </c>
      <c r="AN2" s="289" t="s">
        <v>755</v>
      </c>
      <c r="AO2" s="289" t="s">
        <v>755</v>
      </c>
      <c r="AP2" s="289" t="s">
        <v>755</v>
      </c>
      <c r="AQ2" s="291" t="s">
        <v>755</v>
      </c>
      <c r="AR2" s="295"/>
      <c r="AS2" s="288"/>
      <c r="AT2" s="288"/>
      <c r="AU2" s="975" t="s">
        <v>756</v>
      </c>
      <c r="AV2" s="975"/>
      <c r="AW2" s="975"/>
      <c r="AX2" s="975"/>
    </row>
    <row r="3" spans="1:52" ht="13.9" customHeight="1">
      <c r="A3" s="293" t="s">
        <v>757</v>
      </c>
      <c r="B3" s="293" t="s">
        <v>757</v>
      </c>
      <c r="C3" s="293"/>
      <c r="D3" s="293"/>
      <c r="E3" s="294" t="s">
        <v>758</v>
      </c>
      <c r="F3" s="976" t="s">
        <v>759</v>
      </c>
      <c r="G3" s="294" t="s">
        <v>760</v>
      </c>
      <c r="H3" s="293" t="s">
        <v>761</v>
      </c>
      <c r="I3" s="293" t="s">
        <v>761</v>
      </c>
      <c r="J3" s="293" t="s">
        <v>761</v>
      </c>
      <c r="K3" s="293" t="s">
        <v>761</v>
      </c>
      <c r="L3" s="293" t="s">
        <v>761</v>
      </c>
      <c r="M3" s="293" t="s">
        <v>761</v>
      </c>
      <c r="N3" s="293" t="s">
        <v>761</v>
      </c>
      <c r="O3" s="293" t="s">
        <v>761</v>
      </c>
      <c r="P3" s="293" t="s">
        <v>761</v>
      </c>
      <c r="Q3" s="293" t="s">
        <v>761</v>
      </c>
      <c r="R3" s="458" t="s">
        <v>761</v>
      </c>
      <c r="S3" s="458" t="s">
        <v>761</v>
      </c>
      <c r="T3" s="458" t="s">
        <v>761</v>
      </c>
      <c r="U3" s="458" t="s">
        <v>761</v>
      </c>
      <c r="V3" s="458" t="s">
        <v>761</v>
      </c>
      <c r="W3" s="458" t="s">
        <v>761</v>
      </c>
      <c r="X3" s="458" t="s">
        <v>761</v>
      </c>
      <c r="Y3" s="458" t="s">
        <v>761</v>
      </c>
      <c r="Z3" s="458" t="s">
        <v>761</v>
      </c>
      <c r="AA3" s="293" t="s">
        <v>761</v>
      </c>
      <c r="AB3" s="293" t="s">
        <v>761</v>
      </c>
      <c r="AC3" s="293" t="s">
        <v>761</v>
      </c>
      <c r="AD3" s="293" t="s">
        <v>761</v>
      </c>
      <c r="AE3" s="293" t="s">
        <v>761</v>
      </c>
      <c r="AF3" s="293" t="s">
        <v>761</v>
      </c>
      <c r="AG3" s="293" t="s">
        <v>761</v>
      </c>
      <c r="AH3" s="293" t="s">
        <v>761</v>
      </c>
      <c r="AI3" s="293" t="s">
        <v>761</v>
      </c>
      <c r="AJ3" s="293" t="s">
        <v>761</v>
      </c>
      <c r="AK3" s="293" t="s">
        <v>761</v>
      </c>
      <c r="AL3" s="293" t="s">
        <v>761</v>
      </c>
      <c r="AM3" s="293" t="s">
        <v>761</v>
      </c>
      <c r="AN3" s="293" t="s">
        <v>761</v>
      </c>
      <c r="AO3" s="293" t="s">
        <v>761</v>
      </c>
      <c r="AP3" s="293" t="s">
        <v>761</v>
      </c>
      <c r="AQ3" s="295" t="s">
        <v>761</v>
      </c>
      <c r="AR3" s="295"/>
      <c r="AS3" s="288"/>
      <c r="AT3" s="288"/>
      <c r="AU3" s="296" t="s">
        <v>762</v>
      </c>
      <c r="AV3" s="296" t="s">
        <v>763</v>
      </c>
      <c r="AW3" s="296" t="s">
        <v>764</v>
      </c>
      <c r="AX3" s="296" t="s">
        <v>765</v>
      </c>
    </row>
    <row r="4" spans="1:52" ht="23.25">
      <c r="A4" s="293" t="s">
        <v>757</v>
      </c>
      <c r="B4" s="293" t="s">
        <v>757</v>
      </c>
      <c r="C4" s="293"/>
      <c r="D4" s="293"/>
      <c r="E4" s="294" t="s">
        <v>766</v>
      </c>
      <c r="F4" s="976"/>
      <c r="G4" s="295"/>
      <c r="H4" s="293" t="s">
        <v>767</v>
      </c>
      <c r="I4" s="293" t="s">
        <v>768</v>
      </c>
      <c r="J4" s="293" t="s">
        <v>768</v>
      </c>
      <c r="K4" s="293" t="s">
        <v>768</v>
      </c>
      <c r="L4" s="293" t="s">
        <v>768</v>
      </c>
      <c r="M4" s="293" t="s">
        <v>768</v>
      </c>
      <c r="N4" s="293" t="s">
        <v>768</v>
      </c>
      <c r="O4" s="293" t="s">
        <v>768</v>
      </c>
      <c r="P4" s="293" t="s">
        <v>768</v>
      </c>
      <c r="Q4" s="293" t="s">
        <v>768</v>
      </c>
      <c r="R4" s="458" t="s">
        <v>768</v>
      </c>
      <c r="S4" s="458" t="s">
        <v>768</v>
      </c>
      <c r="T4" s="458" t="s">
        <v>768</v>
      </c>
      <c r="U4" s="458" t="s">
        <v>768</v>
      </c>
      <c r="V4" s="458" t="s">
        <v>768</v>
      </c>
      <c r="W4" s="458" t="s">
        <v>768</v>
      </c>
      <c r="X4" s="458" t="s">
        <v>768</v>
      </c>
      <c r="Y4" s="458" t="s">
        <v>768</v>
      </c>
      <c r="Z4" s="458" t="s">
        <v>768</v>
      </c>
      <c r="AA4" s="293" t="s">
        <v>768</v>
      </c>
      <c r="AB4" s="293" t="s">
        <v>768</v>
      </c>
      <c r="AC4" s="293" t="s">
        <v>768</v>
      </c>
      <c r="AD4" s="293" t="s">
        <v>768</v>
      </c>
      <c r="AE4" s="293" t="s">
        <v>768</v>
      </c>
      <c r="AF4" s="293" t="s">
        <v>768</v>
      </c>
      <c r="AG4" s="293" t="s">
        <v>768</v>
      </c>
      <c r="AH4" s="293" t="s">
        <v>768</v>
      </c>
      <c r="AI4" s="293" t="s">
        <v>768</v>
      </c>
      <c r="AJ4" s="293" t="s">
        <v>768</v>
      </c>
      <c r="AK4" s="293" t="s">
        <v>768</v>
      </c>
      <c r="AL4" s="293" t="s">
        <v>768</v>
      </c>
      <c r="AM4" s="293" t="s">
        <v>768</v>
      </c>
      <c r="AN4" s="293" t="s">
        <v>768</v>
      </c>
      <c r="AO4" s="293" t="s">
        <v>768</v>
      </c>
      <c r="AP4" s="293" t="s">
        <v>768</v>
      </c>
      <c r="AQ4" s="295" t="s">
        <v>768</v>
      </c>
      <c r="AR4" s="295"/>
      <c r="AS4" s="288"/>
      <c r="AT4" s="977" t="s">
        <v>769</v>
      </c>
      <c r="AU4" s="292" t="s">
        <v>770</v>
      </c>
      <c r="AV4" s="292" t="s">
        <v>771</v>
      </c>
      <c r="AW4" s="292" t="s">
        <v>772</v>
      </c>
      <c r="AX4" s="292" t="s">
        <v>773</v>
      </c>
    </row>
    <row r="5" spans="1:52">
      <c r="A5" s="293" t="s">
        <v>757</v>
      </c>
      <c r="B5" s="293" t="s">
        <v>757</v>
      </c>
      <c r="C5" s="293"/>
      <c r="D5" s="293"/>
      <c r="E5" s="293"/>
      <c r="F5" s="293"/>
      <c r="G5" s="293"/>
      <c r="H5" s="293" t="s">
        <v>774</v>
      </c>
      <c r="I5" s="293" t="s">
        <v>775</v>
      </c>
      <c r="J5" s="293" t="s">
        <v>776</v>
      </c>
      <c r="K5" s="293" t="s">
        <v>777</v>
      </c>
      <c r="L5" s="293" t="s">
        <v>778</v>
      </c>
      <c r="M5" s="293" t="s">
        <v>779</v>
      </c>
      <c r="N5" s="293" t="s">
        <v>780</v>
      </c>
      <c r="O5" s="293" t="s">
        <v>781</v>
      </c>
      <c r="P5" s="293" t="s">
        <v>782</v>
      </c>
      <c r="Q5" s="293" t="s">
        <v>783</v>
      </c>
      <c r="R5" s="458" t="s">
        <v>784</v>
      </c>
      <c r="S5" s="458" t="s">
        <v>785</v>
      </c>
      <c r="T5" s="458" t="s">
        <v>786</v>
      </c>
      <c r="U5" s="458" t="s">
        <v>787</v>
      </c>
      <c r="V5" s="458" t="s">
        <v>788</v>
      </c>
      <c r="W5" s="458" t="s">
        <v>789</v>
      </c>
      <c r="X5" s="458" t="s">
        <v>790</v>
      </c>
      <c r="Y5" s="458" t="s">
        <v>791</v>
      </c>
      <c r="Z5" s="615" t="s">
        <v>792</v>
      </c>
      <c r="AA5" s="293" t="s">
        <v>793</v>
      </c>
      <c r="AB5" s="293" t="s">
        <v>794</v>
      </c>
      <c r="AC5" s="293" t="s">
        <v>795</v>
      </c>
      <c r="AD5" s="615" t="s">
        <v>796</v>
      </c>
      <c r="AE5" s="293" t="s">
        <v>797</v>
      </c>
      <c r="AF5" s="293" t="s">
        <v>798</v>
      </c>
      <c r="AG5" s="293" t="s">
        <v>799</v>
      </c>
      <c r="AH5" s="293" t="s">
        <v>800</v>
      </c>
      <c r="AI5" s="293" t="s">
        <v>801</v>
      </c>
      <c r="AJ5" s="293" t="s">
        <v>802</v>
      </c>
      <c r="AK5" s="615" t="s">
        <v>803</v>
      </c>
      <c r="AL5" s="293" t="s">
        <v>804</v>
      </c>
      <c r="AM5" s="293" t="s">
        <v>805</v>
      </c>
      <c r="AN5" s="293" t="s">
        <v>806</v>
      </c>
      <c r="AO5" s="293" t="s">
        <v>807</v>
      </c>
      <c r="AP5" s="293" t="s">
        <v>808</v>
      </c>
      <c r="AQ5" s="295" t="s">
        <v>809</v>
      </c>
      <c r="AR5" s="616" t="s">
        <v>810</v>
      </c>
      <c r="AS5" s="288"/>
      <c r="AT5" s="977"/>
      <c r="AU5" s="292" t="s">
        <v>811</v>
      </c>
      <c r="AV5" s="292" t="s">
        <v>812</v>
      </c>
      <c r="AW5" s="292" t="s">
        <v>811</v>
      </c>
      <c r="AX5" s="292" t="s">
        <v>811</v>
      </c>
      <c r="AY5" s="973" t="s">
        <v>813</v>
      </c>
      <c r="AZ5" s="973"/>
    </row>
    <row r="6" spans="1:52" ht="13.15" hidden="1" customHeight="1">
      <c r="A6" s="297">
        <v>1</v>
      </c>
      <c r="B6" s="297" t="s">
        <v>814</v>
      </c>
      <c r="C6" s="297"/>
      <c r="D6" s="297"/>
      <c r="E6" s="297"/>
      <c r="F6" s="297"/>
      <c r="G6" s="297"/>
      <c r="H6" s="298" t="s">
        <v>815</v>
      </c>
      <c r="I6" s="298">
        <v>2.6058708780122246</v>
      </c>
      <c r="J6" s="298" t="s">
        <v>815</v>
      </c>
      <c r="K6" s="298" t="s">
        <v>815</v>
      </c>
      <c r="L6" s="298">
        <v>0.36485495778766586</v>
      </c>
      <c r="M6" s="298" t="s">
        <v>815</v>
      </c>
      <c r="N6" s="298">
        <v>2.7851391442104498</v>
      </c>
      <c r="O6" s="298" t="s">
        <v>815</v>
      </c>
      <c r="P6" s="298">
        <v>0.24245719146446773</v>
      </c>
      <c r="Q6" s="298" t="s">
        <v>815</v>
      </c>
      <c r="R6" s="454">
        <v>8.6040700932991978</v>
      </c>
      <c r="S6" s="298" t="s">
        <v>815</v>
      </c>
      <c r="T6" s="298">
        <v>0.66773370024898193</v>
      </c>
      <c r="U6" s="298" t="s">
        <v>815</v>
      </c>
      <c r="V6" s="454">
        <v>1.9168373568933639</v>
      </c>
      <c r="W6" s="298">
        <v>6.3701702600721539</v>
      </c>
      <c r="X6" s="454">
        <v>13.011432548996694</v>
      </c>
      <c r="Y6" s="298" t="s">
        <v>815</v>
      </c>
      <c r="Z6" s="454">
        <v>11.267609328723767</v>
      </c>
      <c r="AA6" s="298" t="s">
        <v>815</v>
      </c>
      <c r="AB6" s="298" t="s">
        <v>815</v>
      </c>
      <c r="AC6" s="298" t="s">
        <v>815</v>
      </c>
      <c r="AD6" s="298">
        <v>0.39212540827522085</v>
      </c>
      <c r="AE6" s="298" t="s">
        <v>815</v>
      </c>
      <c r="AF6" s="298" t="s">
        <v>815</v>
      </c>
      <c r="AG6" s="298" t="s">
        <v>815</v>
      </c>
      <c r="AH6" s="298">
        <v>0.67001093542123868</v>
      </c>
      <c r="AI6" s="298" t="s">
        <v>815</v>
      </c>
      <c r="AJ6" s="298" t="s">
        <v>815</v>
      </c>
      <c r="AK6" s="298" t="s">
        <v>815</v>
      </c>
      <c r="AL6" s="298" t="s">
        <v>815</v>
      </c>
      <c r="AM6" s="298" t="s">
        <v>815</v>
      </c>
      <c r="AN6" s="298" t="s">
        <v>815</v>
      </c>
      <c r="AO6" s="298" t="s">
        <v>815</v>
      </c>
      <c r="AP6" s="298">
        <v>51.101688196594566</v>
      </c>
      <c r="AQ6" s="299" t="s">
        <v>815</v>
      </c>
      <c r="AR6" s="302"/>
      <c r="AS6" s="288">
        <f t="shared" ref="AS6:AS14" si="0">SUM(H6:AQ6)</f>
        <v>100</v>
      </c>
      <c r="AT6" s="288"/>
      <c r="AU6" s="292"/>
      <c r="AV6" s="292"/>
      <c r="AW6" s="292"/>
      <c r="AX6" s="292"/>
      <c r="AY6" s="973"/>
      <c r="AZ6" s="973"/>
    </row>
    <row r="7" spans="1:52" ht="13.15" hidden="1" customHeight="1">
      <c r="A7" s="300">
        <v>9</v>
      </c>
      <c r="B7" s="300" t="s">
        <v>814</v>
      </c>
      <c r="C7" s="300"/>
      <c r="D7" s="300"/>
      <c r="E7" s="300"/>
      <c r="F7" s="300"/>
      <c r="G7" s="300"/>
      <c r="H7" s="301">
        <v>1.5883350402811813</v>
      </c>
      <c r="I7" s="301">
        <v>6.8646482178332411</v>
      </c>
      <c r="J7" s="301">
        <v>2.7865779611182937</v>
      </c>
      <c r="K7" s="301">
        <v>1.4964716247107674</v>
      </c>
      <c r="L7" s="301">
        <v>2.9237044257955671</v>
      </c>
      <c r="M7" s="301">
        <v>1.4912861407896176</v>
      </c>
      <c r="N7" s="301">
        <v>6.8780718913098111</v>
      </c>
      <c r="O7" s="301" t="s">
        <v>815</v>
      </c>
      <c r="P7" s="301">
        <v>1.4259274906108879</v>
      </c>
      <c r="Q7" s="301" t="s">
        <v>815</v>
      </c>
      <c r="R7" s="455">
        <v>12.896817680233113</v>
      </c>
      <c r="S7" s="301" t="s">
        <v>815</v>
      </c>
      <c r="T7" s="301">
        <v>1.4677471516929541</v>
      </c>
      <c r="U7" s="301" t="s">
        <v>815</v>
      </c>
      <c r="V7" s="455">
        <v>3.752042396406575</v>
      </c>
      <c r="W7" s="301" t="s">
        <v>815</v>
      </c>
      <c r="X7" s="455" t="s">
        <v>815</v>
      </c>
      <c r="Y7" s="301" t="s">
        <v>815</v>
      </c>
      <c r="Z7" s="455" t="s">
        <v>815</v>
      </c>
      <c r="AA7" s="301">
        <v>2.3913160476927855</v>
      </c>
      <c r="AB7" s="301" t="s">
        <v>815</v>
      </c>
      <c r="AC7" s="301" t="s">
        <v>815</v>
      </c>
      <c r="AD7" s="301">
        <v>8.749182503267396E-3</v>
      </c>
      <c r="AE7" s="301">
        <v>1.2886385341905857</v>
      </c>
      <c r="AF7" s="301" t="s">
        <v>815</v>
      </c>
      <c r="AG7" s="301">
        <v>2.955072885681127</v>
      </c>
      <c r="AH7" s="301">
        <v>3.1321792071552917E-2</v>
      </c>
      <c r="AI7" s="301" t="s">
        <v>815</v>
      </c>
      <c r="AJ7" s="301" t="s">
        <v>815</v>
      </c>
      <c r="AK7" s="301" t="s">
        <v>815</v>
      </c>
      <c r="AL7" s="301" t="s">
        <v>815</v>
      </c>
      <c r="AM7" s="301" t="s">
        <v>815</v>
      </c>
      <c r="AN7" s="301" t="s">
        <v>815</v>
      </c>
      <c r="AO7" s="301">
        <v>2.9785720633484449</v>
      </c>
      <c r="AP7" s="301">
        <v>46.77469947373023</v>
      </c>
      <c r="AQ7" s="302" t="s">
        <v>815</v>
      </c>
      <c r="AR7" s="302"/>
      <c r="AS7" s="288">
        <f t="shared" si="0"/>
        <v>100</v>
      </c>
      <c r="AT7" s="288"/>
      <c r="AU7" s="292"/>
      <c r="AV7" s="292"/>
      <c r="AW7" s="292"/>
      <c r="AX7" s="292"/>
      <c r="AY7" s="973"/>
      <c r="AZ7" s="973"/>
    </row>
    <row r="8" spans="1:52" ht="13.15" hidden="1" customHeight="1">
      <c r="A8" s="300">
        <v>21</v>
      </c>
      <c r="B8" s="300" t="s">
        <v>814</v>
      </c>
      <c r="C8" s="300"/>
      <c r="D8" s="300"/>
      <c r="E8" s="300"/>
      <c r="F8" s="300"/>
      <c r="G8" s="300"/>
      <c r="H8" s="301">
        <v>0.86333519892476085</v>
      </c>
      <c r="I8" s="301">
        <v>1.3610767067288605</v>
      </c>
      <c r="J8" s="301" t="s">
        <v>815</v>
      </c>
      <c r="K8" s="301" t="s">
        <v>815</v>
      </c>
      <c r="L8" s="301">
        <v>0.19433978514078057</v>
      </c>
      <c r="M8" s="301">
        <v>0.41134027663407247</v>
      </c>
      <c r="N8" s="301">
        <v>1.6169031262218081</v>
      </c>
      <c r="O8" s="301" t="s">
        <v>815</v>
      </c>
      <c r="P8" s="301">
        <v>0.14539284716075257</v>
      </c>
      <c r="Q8" s="301" t="s">
        <v>815</v>
      </c>
      <c r="R8" s="455">
        <v>3.3855109594746655</v>
      </c>
      <c r="S8" s="301" t="s">
        <v>815</v>
      </c>
      <c r="T8" s="301" t="s">
        <v>815</v>
      </c>
      <c r="U8" s="301" t="s">
        <v>815</v>
      </c>
      <c r="V8" s="455">
        <v>0.85414767519842583</v>
      </c>
      <c r="W8" s="301" t="s">
        <v>815</v>
      </c>
      <c r="X8" s="455">
        <v>4.4377627087415874</v>
      </c>
      <c r="Y8" s="301" t="s">
        <v>815</v>
      </c>
      <c r="Z8" s="455" t="s">
        <v>815</v>
      </c>
      <c r="AA8" s="301" t="s">
        <v>815</v>
      </c>
      <c r="AB8" s="301" t="s">
        <v>815</v>
      </c>
      <c r="AC8" s="301" t="s">
        <v>815</v>
      </c>
      <c r="AD8" s="301" t="s">
        <v>815</v>
      </c>
      <c r="AE8" s="301" t="s">
        <v>815</v>
      </c>
      <c r="AF8" s="301" t="s">
        <v>815</v>
      </c>
      <c r="AG8" s="301">
        <v>0.45402367006630817</v>
      </c>
      <c r="AH8" s="301" t="s">
        <v>815</v>
      </c>
      <c r="AI8" s="301" t="s">
        <v>815</v>
      </c>
      <c r="AJ8" s="301" t="s">
        <v>815</v>
      </c>
      <c r="AK8" s="301" t="s">
        <v>815</v>
      </c>
      <c r="AL8" s="301" t="s">
        <v>815</v>
      </c>
      <c r="AM8" s="301" t="s">
        <v>815</v>
      </c>
      <c r="AN8" s="301">
        <v>53.910621600713796</v>
      </c>
      <c r="AO8" s="301" t="s">
        <v>815</v>
      </c>
      <c r="AP8" s="301">
        <v>32.365545444994169</v>
      </c>
      <c r="AQ8" s="302" t="s">
        <v>815</v>
      </c>
      <c r="AR8" s="302"/>
      <c r="AS8" s="288">
        <f t="shared" si="0"/>
        <v>99.999999999999986</v>
      </c>
      <c r="AT8" s="288"/>
      <c r="AU8" s="292"/>
      <c r="AV8" s="292"/>
      <c r="AW8" s="292"/>
      <c r="AX8" s="292"/>
      <c r="AY8" s="973"/>
      <c r="AZ8" s="973"/>
    </row>
    <row r="9" spans="1:52" ht="13.15" hidden="1" customHeight="1">
      <c r="A9" s="300">
        <v>32</v>
      </c>
      <c r="B9" s="300" t="s">
        <v>814</v>
      </c>
      <c r="C9" s="300"/>
      <c r="D9" s="300"/>
      <c r="E9" s="300"/>
      <c r="F9" s="300"/>
      <c r="G9" s="300"/>
      <c r="H9" s="301">
        <v>1.0568522913323291</v>
      </c>
      <c r="I9" s="301">
        <v>4.6102804899608962</v>
      </c>
      <c r="J9" s="301" t="s">
        <v>815</v>
      </c>
      <c r="K9" s="301" t="s">
        <v>815</v>
      </c>
      <c r="L9" s="301" t="s">
        <v>815</v>
      </c>
      <c r="M9" s="301" t="s">
        <v>815</v>
      </c>
      <c r="N9" s="301">
        <v>5.5339546201376066</v>
      </c>
      <c r="O9" s="301" t="s">
        <v>815</v>
      </c>
      <c r="P9" s="301" t="s">
        <v>815</v>
      </c>
      <c r="Q9" s="301" t="s">
        <v>815</v>
      </c>
      <c r="R9" s="455">
        <v>10.013528582147259</v>
      </c>
      <c r="S9" s="301" t="s">
        <v>815</v>
      </c>
      <c r="T9" s="301" t="s">
        <v>815</v>
      </c>
      <c r="U9" s="301" t="s">
        <v>815</v>
      </c>
      <c r="V9" s="455">
        <v>2.5207893060020705</v>
      </c>
      <c r="W9" s="301">
        <v>8.9070680830500564</v>
      </c>
      <c r="X9" s="455">
        <v>10.692754372929988</v>
      </c>
      <c r="Y9" s="301" t="s">
        <v>815</v>
      </c>
      <c r="Z9" s="455">
        <v>10.32551824232741</v>
      </c>
      <c r="AA9" s="301" t="s">
        <v>815</v>
      </c>
      <c r="AB9" s="301" t="s">
        <v>815</v>
      </c>
      <c r="AC9" s="301" t="s">
        <v>815</v>
      </c>
      <c r="AD9" s="301" t="s">
        <v>815</v>
      </c>
      <c r="AE9" s="301" t="s">
        <v>815</v>
      </c>
      <c r="AF9" s="301" t="s">
        <v>815</v>
      </c>
      <c r="AG9" s="301" t="s">
        <v>815</v>
      </c>
      <c r="AH9" s="301" t="s">
        <v>815</v>
      </c>
      <c r="AI9" s="301" t="s">
        <v>815</v>
      </c>
      <c r="AJ9" s="301" t="s">
        <v>815</v>
      </c>
      <c r="AK9" s="301" t="s">
        <v>815</v>
      </c>
      <c r="AL9" s="301" t="s">
        <v>815</v>
      </c>
      <c r="AM9" s="301" t="s">
        <v>815</v>
      </c>
      <c r="AN9" s="301" t="s">
        <v>815</v>
      </c>
      <c r="AO9" s="301" t="s">
        <v>815</v>
      </c>
      <c r="AP9" s="301">
        <v>46.339254012112377</v>
      </c>
      <c r="AQ9" s="302" t="s">
        <v>815</v>
      </c>
      <c r="AR9" s="302"/>
      <c r="AS9" s="288">
        <f t="shared" si="0"/>
        <v>100</v>
      </c>
      <c r="AT9" s="288"/>
      <c r="AU9" s="292"/>
      <c r="AV9" s="292"/>
      <c r="AW9" s="292"/>
      <c r="AX9" s="292"/>
      <c r="AY9" s="973"/>
      <c r="AZ9" s="973"/>
    </row>
    <row r="10" spans="1:52" ht="13.15" hidden="1" customHeight="1">
      <c r="A10" s="300">
        <v>43</v>
      </c>
      <c r="B10" s="300" t="s">
        <v>814</v>
      </c>
      <c r="C10" s="300"/>
      <c r="D10" s="300"/>
      <c r="E10" s="300"/>
      <c r="F10" s="300"/>
      <c r="G10" s="300"/>
      <c r="H10" s="301" t="s">
        <v>815</v>
      </c>
      <c r="I10" s="301">
        <v>1.897107487643434</v>
      </c>
      <c r="J10" s="301">
        <v>0.19166604388311245</v>
      </c>
      <c r="K10" s="301" t="s">
        <v>815</v>
      </c>
      <c r="L10" s="301">
        <v>0.17722222770132895</v>
      </c>
      <c r="M10" s="301" t="s">
        <v>815</v>
      </c>
      <c r="N10" s="301">
        <v>1.9474580224106495</v>
      </c>
      <c r="O10" s="301" t="s">
        <v>815</v>
      </c>
      <c r="P10" s="301" t="s">
        <v>815</v>
      </c>
      <c r="Q10" s="301" t="s">
        <v>815</v>
      </c>
      <c r="R10" s="455">
        <v>3.7792738517927513</v>
      </c>
      <c r="S10" s="301" t="s">
        <v>815</v>
      </c>
      <c r="T10" s="301" t="s">
        <v>815</v>
      </c>
      <c r="U10" s="301" t="s">
        <v>815</v>
      </c>
      <c r="V10" s="455">
        <v>0.83297051410115508</v>
      </c>
      <c r="W10" s="301">
        <v>4.8873899804846355</v>
      </c>
      <c r="X10" s="455">
        <v>4.2023841664530259</v>
      </c>
      <c r="Y10" s="301" t="s">
        <v>815</v>
      </c>
      <c r="Z10" s="455">
        <v>3.590601403040528</v>
      </c>
      <c r="AA10" s="301" t="s">
        <v>815</v>
      </c>
      <c r="AB10" s="301" t="s">
        <v>815</v>
      </c>
      <c r="AC10" s="301" t="s">
        <v>815</v>
      </c>
      <c r="AD10" s="301">
        <v>0.84547999639266291</v>
      </c>
      <c r="AE10" s="301" t="s">
        <v>815</v>
      </c>
      <c r="AF10" s="301" t="s">
        <v>815</v>
      </c>
      <c r="AG10" s="301" t="s">
        <v>815</v>
      </c>
      <c r="AH10" s="301">
        <v>4.6613137876940935E-2</v>
      </c>
      <c r="AI10" s="301" t="s">
        <v>815</v>
      </c>
      <c r="AJ10" s="301" t="s">
        <v>815</v>
      </c>
      <c r="AK10" s="301" t="s">
        <v>815</v>
      </c>
      <c r="AL10" s="301" t="s">
        <v>815</v>
      </c>
      <c r="AM10" s="301" t="s">
        <v>815</v>
      </c>
      <c r="AN10" s="301">
        <v>63.859381770035512</v>
      </c>
      <c r="AO10" s="301" t="s">
        <v>815</v>
      </c>
      <c r="AP10" s="301">
        <v>13.742451398184272</v>
      </c>
      <c r="AQ10" s="302" t="s">
        <v>815</v>
      </c>
      <c r="AR10" s="302"/>
      <c r="AS10" s="288">
        <f t="shared" si="0"/>
        <v>100</v>
      </c>
      <c r="AT10" s="288"/>
      <c r="AU10" s="292"/>
      <c r="AV10" s="292"/>
      <c r="AW10" s="292"/>
      <c r="AX10" s="292"/>
      <c r="AY10" s="973"/>
      <c r="AZ10" s="973"/>
    </row>
    <row r="11" spans="1:52" ht="13.15" hidden="1" customHeight="1">
      <c r="A11" s="300">
        <v>51</v>
      </c>
      <c r="B11" s="300" t="s">
        <v>814</v>
      </c>
      <c r="C11" s="300"/>
      <c r="D11" s="300"/>
      <c r="E11" s="300"/>
      <c r="F11" s="300"/>
      <c r="G11" s="300"/>
      <c r="H11" s="301">
        <v>4.6436476507264306</v>
      </c>
      <c r="I11" s="301">
        <v>4.8013274328139328</v>
      </c>
      <c r="J11" s="301">
        <v>4.4535074389310045</v>
      </c>
      <c r="K11" s="301">
        <v>2.3388032573029651</v>
      </c>
      <c r="L11" s="301">
        <v>4.0339989142257675</v>
      </c>
      <c r="M11" s="301">
        <v>1.9205153487595821</v>
      </c>
      <c r="N11" s="301">
        <v>4.3859111525115839</v>
      </c>
      <c r="O11" s="301" t="s">
        <v>815</v>
      </c>
      <c r="P11" s="301">
        <v>1.7970050809270748</v>
      </c>
      <c r="Q11" s="301" t="s">
        <v>815</v>
      </c>
      <c r="R11" s="455">
        <v>9.4724864011615111</v>
      </c>
      <c r="S11" s="301" t="s">
        <v>815</v>
      </c>
      <c r="T11" s="301">
        <v>1.516900150106703</v>
      </c>
      <c r="U11" s="301" t="s">
        <v>815</v>
      </c>
      <c r="V11" s="455">
        <v>3.4043039433027635</v>
      </c>
      <c r="W11" s="301">
        <v>7.8041274674307584</v>
      </c>
      <c r="X11" s="455">
        <v>9.7193851595288336</v>
      </c>
      <c r="Y11" s="301" t="s">
        <v>815</v>
      </c>
      <c r="Z11" s="455">
        <v>6.8196632037946108</v>
      </c>
      <c r="AA11" s="301">
        <v>2.0356047423008294</v>
      </c>
      <c r="AB11" s="301" t="s">
        <v>815</v>
      </c>
      <c r="AC11" s="301" t="s">
        <v>815</v>
      </c>
      <c r="AD11" s="301" t="s">
        <v>815</v>
      </c>
      <c r="AE11" s="301">
        <v>1.0060512803887549</v>
      </c>
      <c r="AF11" s="301" t="s">
        <v>815</v>
      </c>
      <c r="AG11" s="301">
        <v>2.2995960246326788</v>
      </c>
      <c r="AH11" s="301" t="s">
        <v>815</v>
      </c>
      <c r="AI11" s="301" t="s">
        <v>815</v>
      </c>
      <c r="AJ11" s="301" t="s">
        <v>815</v>
      </c>
      <c r="AK11" s="301" t="s">
        <v>815</v>
      </c>
      <c r="AL11" s="301" t="s">
        <v>815</v>
      </c>
      <c r="AM11" s="301" t="s">
        <v>815</v>
      </c>
      <c r="AN11" s="301" t="s">
        <v>815</v>
      </c>
      <c r="AO11" s="301">
        <v>2.6883267794620322</v>
      </c>
      <c r="AP11" s="301">
        <v>20.171239993765788</v>
      </c>
      <c r="AQ11" s="302">
        <v>4.6875985779263996</v>
      </c>
      <c r="AR11" s="302"/>
      <c r="AS11" s="288">
        <f t="shared" si="0"/>
        <v>100</v>
      </c>
      <c r="AT11" s="288"/>
      <c r="AU11" s="292"/>
      <c r="AV11" s="292"/>
      <c r="AW11" s="292"/>
      <c r="AX11" s="292"/>
      <c r="AY11" s="973"/>
      <c r="AZ11" s="973"/>
    </row>
    <row r="12" spans="1:52" ht="13.15" hidden="1" customHeight="1">
      <c r="A12" s="300">
        <v>62</v>
      </c>
      <c r="B12" s="300" t="s">
        <v>814</v>
      </c>
      <c r="C12" s="300"/>
      <c r="D12" s="300"/>
      <c r="E12" s="300"/>
      <c r="F12" s="300"/>
      <c r="G12" s="300"/>
      <c r="H12" s="301" t="s">
        <v>815</v>
      </c>
      <c r="I12" s="301">
        <v>5.6743801020751761</v>
      </c>
      <c r="J12" s="301">
        <v>0.91262244740493381</v>
      </c>
      <c r="K12" s="301" t="s">
        <v>815</v>
      </c>
      <c r="L12" s="301">
        <v>0.90830938981231435</v>
      </c>
      <c r="M12" s="301" t="s">
        <v>815</v>
      </c>
      <c r="N12" s="301">
        <v>5.5148617426291606</v>
      </c>
      <c r="O12" s="301" t="s">
        <v>815</v>
      </c>
      <c r="P12" s="301" t="s">
        <v>815</v>
      </c>
      <c r="Q12" s="301" t="s">
        <v>815</v>
      </c>
      <c r="R12" s="455">
        <v>11.165467566081464</v>
      </c>
      <c r="S12" s="301" t="s">
        <v>815</v>
      </c>
      <c r="T12" s="301">
        <v>0.80763826579328934</v>
      </c>
      <c r="U12" s="301" t="s">
        <v>815</v>
      </c>
      <c r="V12" s="455">
        <v>2.585041764003444</v>
      </c>
      <c r="W12" s="301">
        <v>13.740331547293989</v>
      </c>
      <c r="X12" s="455" t="s">
        <v>815</v>
      </c>
      <c r="Y12" s="301" t="s">
        <v>815</v>
      </c>
      <c r="Z12" s="455">
        <v>10.892238673356381</v>
      </c>
      <c r="AA12" s="301">
        <v>0.85992399358725913</v>
      </c>
      <c r="AB12" s="301" t="s">
        <v>815</v>
      </c>
      <c r="AC12" s="301" t="s">
        <v>815</v>
      </c>
      <c r="AD12" s="301">
        <v>0.84866586762381968</v>
      </c>
      <c r="AE12" s="301" t="s">
        <v>815</v>
      </c>
      <c r="AF12" s="301" t="s">
        <v>815</v>
      </c>
      <c r="AG12" s="301" t="s">
        <v>815</v>
      </c>
      <c r="AH12" s="301">
        <v>0.7567694347381223</v>
      </c>
      <c r="AI12" s="301" t="s">
        <v>815</v>
      </c>
      <c r="AJ12" s="301" t="s">
        <v>815</v>
      </c>
      <c r="AK12" s="301" t="s">
        <v>815</v>
      </c>
      <c r="AL12" s="301" t="s">
        <v>815</v>
      </c>
      <c r="AM12" s="301" t="s">
        <v>815</v>
      </c>
      <c r="AN12" s="301" t="s">
        <v>815</v>
      </c>
      <c r="AO12" s="301" t="s">
        <v>815</v>
      </c>
      <c r="AP12" s="301">
        <v>45.33374920560064</v>
      </c>
      <c r="AQ12" s="302" t="s">
        <v>815</v>
      </c>
      <c r="AR12" s="302"/>
      <c r="AS12" s="288">
        <f t="shared" si="0"/>
        <v>100</v>
      </c>
      <c r="AT12" s="288"/>
      <c r="AU12" s="292"/>
      <c r="AV12" s="292"/>
      <c r="AW12" s="292"/>
      <c r="AX12" s="292"/>
      <c r="AY12" s="973"/>
      <c r="AZ12" s="973"/>
    </row>
    <row r="13" spans="1:52" ht="13.15" hidden="1" customHeight="1">
      <c r="A13" s="300">
        <v>74</v>
      </c>
      <c r="B13" s="300" t="s">
        <v>814</v>
      </c>
      <c r="C13" s="300"/>
      <c r="D13" s="300"/>
      <c r="E13" s="300"/>
      <c r="F13" s="300"/>
      <c r="G13" s="300"/>
      <c r="H13" s="301">
        <v>0.41963822589881439</v>
      </c>
      <c r="I13" s="301">
        <v>4.0117215499833296</v>
      </c>
      <c r="J13" s="301">
        <v>0.50752913549740308</v>
      </c>
      <c r="K13" s="301" t="s">
        <v>815</v>
      </c>
      <c r="L13" s="301">
        <v>0.46075186370011956</v>
      </c>
      <c r="M13" s="301" t="s">
        <v>815</v>
      </c>
      <c r="N13" s="301">
        <v>4.3117243613357195</v>
      </c>
      <c r="O13" s="301" t="s">
        <v>815</v>
      </c>
      <c r="P13" s="301">
        <v>0.27920475686164975</v>
      </c>
      <c r="Q13" s="301" t="s">
        <v>815</v>
      </c>
      <c r="R13" s="455">
        <v>10.980796414387253</v>
      </c>
      <c r="S13" s="301" t="s">
        <v>815</v>
      </c>
      <c r="T13" s="301">
        <v>0.69634901948798589</v>
      </c>
      <c r="U13" s="301" t="s">
        <v>815</v>
      </c>
      <c r="V13" s="455">
        <v>2.3859970383617077</v>
      </c>
      <c r="W13" s="301">
        <v>16.939523042002403</v>
      </c>
      <c r="X13" s="455">
        <v>13.816253853660951</v>
      </c>
      <c r="Y13" s="301" t="s">
        <v>815</v>
      </c>
      <c r="Z13" s="455">
        <v>12.385071447455285</v>
      </c>
      <c r="AA13" s="301">
        <v>0.70265011535543864</v>
      </c>
      <c r="AB13" s="301" t="s">
        <v>815</v>
      </c>
      <c r="AC13" s="301" t="s">
        <v>815</v>
      </c>
      <c r="AD13" s="301" t="s">
        <v>815</v>
      </c>
      <c r="AE13" s="301" t="s">
        <v>815</v>
      </c>
      <c r="AF13" s="301" t="s">
        <v>815</v>
      </c>
      <c r="AG13" s="301">
        <v>0.63359478928759116</v>
      </c>
      <c r="AH13" s="301" t="s">
        <v>815</v>
      </c>
      <c r="AI13" s="301" t="s">
        <v>815</v>
      </c>
      <c r="AJ13" s="301" t="s">
        <v>815</v>
      </c>
      <c r="AK13" s="301" t="s">
        <v>815</v>
      </c>
      <c r="AL13" s="301" t="s">
        <v>815</v>
      </c>
      <c r="AM13" s="301" t="s">
        <v>815</v>
      </c>
      <c r="AN13" s="301" t="s">
        <v>815</v>
      </c>
      <c r="AO13" s="301" t="s">
        <v>815</v>
      </c>
      <c r="AP13" s="301">
        <v>31.46919438672435</v>
      </c>
      <c r="AQ13" s="302" t="s">
        <v>815</v>
      </c>
      <c r="AR13" s="302"/>
      <c r="AS13" s="288">
        <f t="shared" si="0"/>
        <v>100</v>
      </c>
      <c r="AT13" s="288"/>
      <c r="AU13" s="292"/>
      <c r="AV13" s="292"/>
      <c r="AW13" s="292"/>
      <c r="AX13" s="292"/>
      <c r="AY13" s="973"/>
      <c r="AZ13" s="973"/>
    </row>
    <row r="14" spans="1:52" ht="13.15" hidden="1" customHeight="1">
      <c r="A14" s="303">
        <v>82</v>
      </c>
      <c r="B14" s="304" t="s">
        <v>814</v>
      </c>
      <c r="C14" s="304"/>
      <c r="D14" s="304"/>
      <c r="E14" s="304"/>
      <c r="F14" s="304"/>
      <c r="G14" s="304"/>
      <c r="H14" s="305" t="s">
        <v>815</v>
      </c>
      <c r="I14" s="305">
        <v>8.0577293488279622</v>
      </c>
      <c r="J14" s="305" t="s">
        <v>815</v>
      </c>
      <c r="K14" s="305" t="s">
        <v>815</v>
      </c>
      <c r="L14" s="305">
        <v>4.1294848439009924</v>
      </c>
      <c r="M14" s="305" t="s">
        <v>815</v>
      </c>
      <c r="N14" s="305">
        <v>8.3448025196884412</v>
      </c>
      <c r="O14" s="305" t="s">
        <v>815</v>
      </c>
      <c r="P14" s="305" t="s">
        <v>815</v>
      </c>
      <c r="Q14" s="305" t="s">
        <v>815</v>
      </c>
      <c r="R14" s="456">
        <v>11.34912092090981</v>
      </c>
      <c r="S14" s="305" t="s">
        <v>815</v>
      </c>
      <c r="T14" s="305" t="s">
        <v>815</v>
      </c>
      <c r="U14" s="305" t="s">
        <v>815</v>
      </c>
      <c r="V14" s="456" t="s">
        <v>815</v>
      </c>
      <c r="W14" s="305">
        <v>59.065281868116685</v>
      </c>
      <c r="X14" s="456" t="s">
        <v>815</v>
      </c>
      <c r="Y14" s="305" t="s">
        <v>815</v>
      </c>
      <c r="Z14" s="456" t="s">
        <v>815</v>
      </c>
      <c r="AA14" s="305" t="s">
        <v>815</v>
      </c>
      <c r="AB14" s="305" t="s">
        <v>815</v>
      </c>
      <c r="AC14" s="305" t="s">
        <v>815</v>
      </c>
      <c r="AD14" s="305">
        <v>3.383867117854499</v>
      </c>
      <c r="AE14" s="305" t="s">
        <v>815</v>
      </c>
      <c r="AF14" s="305" t="s">
        <v>815</v>
      </c>
      <c r="AG14" s="305">
        <v>3.9572938846436827</v>
      </c>
      <c r="AH14" s="305">
        <v>0.58803146018533026</v>
      </c>
      <c r="AI14" s="305" t="s">
        <v>815</v>
      </c>
      <c r="AJ14" s="305" t="s">
        <v>815</v>
      </c>
      <c r="AK14" s="305" t="s">
        <v>815</v>
      </c>
      <c r="AL14" s="305" t="s">
        <v>815</v>
      </c>
      <c r="AM14" s="305" t="s">
        <v>815</v>
      </c>
      <c r="AN14" s="305" t="s">
        <v>815</v>
      </c>
      <c r="AO14" s="305" t="s">
        <v>815</v>
      </c>
      <c r="AP14" s="305">
        <v>1.1243880358726006</v>
      </c>
      <c r="AQ14" s="306" t="s">
        <v>815</v>
      </c>
      <c r="AR14" s="306"/>
      <c r="AS14" s="288">
        <f t="shared" si="0"/>
        <v>100.00000000000001</v>
      </c>
      <c r="AT14" s="288"/>
      <c r="AU14" s="292"/>
      <c r="AV14" s="292"/>
      <c r="AW14" s="292"/>
      <c r="AX14" s="292"/>
      <c r="AY14" s="973"/>
      <c r="AZ14" s="973"/>
    </row>
    <row r="15" spans="1:52" ht="13.15" hidden="1" customHeight="1">
      <c r="A15" s="300">
        <v>2</v>
      </c>
      <c r="B15" s="300" t="s">
        <v>816</v>
      </c>
      <c r="C15" s="300"/>
      <c r="D15" s="300"/>
      <c r="E15" s="300"/>
      <c r="F15" s="300"/>
      <c r="G15" s="300"/>
      <c r="H15" s="301">
        <v>7.4977921733706223</v>
      </c>
      <c r="I15" s="301">
        <v>6.3636708264021733</v>
      </c>
      <c r="J15" s="301">
        <v>6.1021613942435611</v>
      </c>
      <c r="K15" s="301">
        <v>2.9479623628123126</v>
      </c>
      <c r="L15" s="301">
        <v>5.6366916289868882</v>
      </c>
      <c r="M15" s="301">
        <v>2.6964391108951897</v>
      </c>
      <c r="N15" s="301">
        <v>5.0692924462017563</v>
      </c>
      <c r="O15" s="301">
        <v>2.4032653520808123</v>
      </c>
      <c r="P15" s="301">
        <v>2.2413944221442756</v>
      </c>
      <c r="Q15" s="301">
        <v>2.1636297957884461</v>
      </c>
      <c r="R15" s="455">
        <v>6.9677448847423449</v>
      </c>
      <c r="S15" s="301">
        <v>2.0543321619012036</v>
      </c>
      <c r="T15" s="301">
        <v>1.9376964521677813</v>
      </c>
      <c r="U15" s="301">
        <v>1.9526567192933857</v>
      </c>
      <c r="V15" s="455">
        <v>3.8714038875012911</v>
      </c>
      <c r="W15" s="301">
        <v>1.8271779190566584</v>
      </c>
      <c r="X15" s="455">
        <v>3.8155484029219382</v>
      </c>
      <c r="Y15" s="301">
        <v>1.706737219318528</v>
      </c>
      <c r="Z15" s="455">
        <v>1.8891200141660314</v>
      </c>
      <c r="AA15" s="301">
        <v>3.5126152325777551</v>
      </c>
      <c r="AB15" s="301">
        <v>1.7181555122649943</v>
      </c>
      <c r="AC15" s="301">
        <v>1.6128249966725376</v>
      </c>
      <c r="AD15" s="301" t="s">
        <v>815</v>
      </c>
      <c r="AE15" s="301">
        <v>1.5971437519562677</v>
      </c>
      <c r="AF15" s="301">
        <v>1.6599910520924384</v>
      </c>
      <c r="AG15" s="301">
        <v>3.5569831069731017</v>
      </c>
      <c r="AH15" s="301">
        <v>1.7005026685409315</v>
      </c>
      <c r="AI15" s="301">
        <v>1.7635667149993577</v>
      </c>
      <c r="AJ15" s="301">
        <v>1.5270102245290356</v>
      </c>
      <c r="AK15" s="301">
        <v>1.5605650338301094</v>
      </c>
      <c r="AL15" s="301">
        <v>1.6578593244362825</v>
      </c>
      <c r="AM15" s="301">
        <v>1.5750419403111646</v>
      </c>
      <c r="AN15" s="301">
        <v>1.7591381921107665</v>
      </c>
      <c r="AO15" s="301">
        <v>3.5330524393707474</v>
      </c>
      <c r="AP15" s="301">
        <v>2.1208326353393021</v>
      </c>
      <c r="AQ15" s="302" t="s">
        <v>815</v>
      </c>
      <c r="AR15" s="302"/>
      <c r="AS15" s="288">
        <f t="shared" ref="AS15:AS36" si="1">SUM(H15:AQ15)</f>
        <v>100.00000000000001</v>
      </c>
      <c r="AT15" s="288"/>
      <c r="AU15" s="292"/>
      <c r="AV15" s="292"/>
      <c r="AW15" s="292"/>
      <c r="AX15" s="292"/>
      <c r="AY15" s="973"/>
      <c r="AZ15" s="973"/>
    </row>
    <row r="16" spans="1:52" ht="13.15" hidden="1" customHeight="1">
      <c r="A16" s="300">
        <v>3</v>
      </c>
      <c r="B16" s="300" t="s">
        <v>817</v>
      </c>
      <c r="C16" s="300"/>
      <c r="D16" s="300"/>
      <c r="E16" s="300"/>
      <c r="F16" s="300"/>
      <c r="G16" s="300"/>
      <c r="H16" s="301">
        <v>6.5356365689002685</v>
      </c>
      <c r="I16" s="301">
        <v>5.6375453264088851</v>
      </c>
      <c r="J16" s="301">
        <v>5.4543857629913832</v>
      </c>
      <c r="K16" s="301">
        <v>2.626358635321774</v>
      </c>
      <c r="L16" s="301">
        <v>5.183230066296554</v>
      </c>
      <c r="M16" s="301">
        <v>2.4660934282681133</v>
      </c>
      <c r="N16" s="301">
        <v>4.8050946304184885</v>
      </c>
      <c r="O16" s="301">
        <v>2.2571401851441717</v>
      </c>
      <c r="P16" s="301">
        <v>2.1404546992888798</v>
      </c>
      <c r="Q16" s="301">
        <v>2.0784665585257431</v>
      </c>
      <c r="R16" s="455">
        <v>6.8027190629367347</v>
      </c>
      <c r="S16" s="301">
        <v>1.9806007853668925</v>
      </c>
      <c r="T16" s="301">
        <v>1.8963028794005257</v>
      </c>
      <c r="U16" s="301">
        <v>1.8276578630262545</v>
      </c>
      <c r="V16" s="455">
        <v>3.8611943461412195</v>
      </c>
      <c r="W16" s="301">
        <v>1.7662381065485757</v>
      </c>
      <c r="X16" s="455">
        <v>3.7509834932729227</v>
      </c>
      <c r="Y16" s="301">
        <v>1.6278466548469579</v>
      </c>
      <c r="Z16" s="455">
        <v>1.6776297105785754</v>
      </c>
      <c r="AA16" s="301">
        <v>3.471162319650948</v>
      </c>
      <c r="AB16" s="301">
        <v>1.703764666946179</v>
      </c>
      <c r="AC16" s="301">
        <v>1.8206960671408075</v>
      </c>
      <c r="AD16" s="301">
        <v>1.7683439058644308</v>
      </c>
      <c r="AE16" s="301">
        <v>1.5503520682959231</v>
      </c>
      <c r="AF16" s="301">
        <v>1.5652847990764889</v>
      </c>
      <c r="AG16" s="301">
        <v>3.6271326390591447</v>
      </c>
      <c r="AH16" s="301">
        <v>1.4929132148351181</v>
      </c>
      <c r="AI16" s="301">
        <v>1.794094640115879</v>
      </c>
      <c r="AJ16" s="301">
        <v>1.5540296979518777</v>
      </c>
      <c r="AK16" s="301">
        <v>1.5806786354967552</v>
      </c>
      <c r="AL16" s="301">
        <v>1.6768619212261973</v>
      </c>
      <c r="AM16" s="301">
        <v>1.4677915237120081</v>
      </c>
      <c r="AN16" s="301">
        <v>1.6184755887385027</v>
      </c>
      <c r="AO16" s="301">
        <v>3.4358590306688392</v>
      </c>
      <c r="AP16" s="301">
        <v>3.8377133924779243</v>
      </c>
      <c r="AQ16" s="302">
        <v>1.6592671250600406</v>
      </c>
      <c r="AR16" s="302"/>
      <c r="AS16" s="288">
        <f t="shared" si="1"/>
        <v>99.999999999999957</v>
      </c>
      <c r="AT16" s="288"/>
      <c r="AU16" s="292"/>
      <c r="AV16" s="292"/>
      <c r="AW16" s="292"/>
      <c r="AX16" s="292"/>
      <c r="AY16" s="973"/>
      <c r="AZ16" s="973"/>
    </row>
    <row r="17" spans="1:52" ht="13.15" hidden="1" customHeight="1">
      <c r="A17" s="300">
        <v>4</v>
      </c>
      <c r="B17" s="300" t="s">
        <v>818</v>
      </c>
      <c r="C17" s="300"/>
      <c r="D17" s="300"/>
      <c r="E17" s="300"/>
      <c r="F17" s="300"/>
      <c r="G17" s="300"/>
      <c r="H17" s="301">
        <v>6.3767374374480958</v>
      </c>
      <c r="I17" s="301">
        <v>5.4743389885917493</v>
      </c>
      <c r="J17" s="301">
        <v>5.3288001199703929</v>
      </c>
      <c r="K17" s="301">
        <v>2.5637273962780198</v>
      </c>
      <c r="L17" s="301">
        <v>5.0743812271779847</v>
      </c>
      <c r="M17" s="301">
        <v>2.4310751410763434</v>
      </c>
      <c r="N17" s="301">
        <v>4.7897456289026543</v>
      </c>
      <c r="O17" s="301">
        <v>2.2413280306633152</v>
      </c>
      <c r="P17" s="301">
        <v>2.1960239427855641</v>
      </c>
      <c r="Q17" s="301">
        <v>2.1573091143790091</v>
      </c>
      <c r="R17" s="455">
        <v>7.017199729375422</v>
      </c>
      <c r="S17" s="301">
        <v>2.0566536388847849</v>
      </c>
      <c r="T17" s="301">
        <v>1.9364491445739291</v>
      </c>
      <c r="U17" s="301">
        <v>1.9604381960520569</v>
      </c>
      <c r="V17" s="455">
        <v>4.1099583753322984</v>
      </c>
      <c r="W17" s="301">
        <v>1.8190599240870657</v>
      </c>
      <c r="X17" s="455">
        <v>4.0539853576649314</v>
      </c>
      <c r="Y17" s="301">
        <v>1.7408923183802696</v>
      </c>
      <c r="Z17" s="455">
        <v>1.7838314785904157</v>
      </c>
      <c r="AA17" s="301">
        <v>3.692249395676356</v>
      </c>
      <c r="AB17" s="301">
        <v>1.7706236262544688</v>
      </c>
      <c r="AC17" s="301">
        <v>1.7812644870670962</v>
      </c>
      <c r="AD17" s="301">
        <v>1.8989061179058961</v>
      </c>
      <c r="AE17" s="301">
        <v>1.6345047722547148</v>
      </c>
      <c r="AF17" s="301">
        <v>1.6263192506439164</v>
      </c>
      <c r="AG17" s="301">
        <v>3.7337029592642992</v>
      </c>
      <c r="AH17" s="301">
        <v>1.5535854710475068</v>
      </c>
      <c r="AI17" s="301">
        <v>1.6876195615475038</v>
      </c>
      <c r="AJ17" s="301">
        <v>1.6659374471984558</v>
      </c>
      <c r="AK17" s="301">
        <v>1.7149219233406998</v>
      </c>
      <c r="AL17" s="301">
        <v>1.7147287927069148</v>
      </c>
      <c r="AM17" s="301">
        <v>1.5248065906554791</v>
      </c>
      <c r="AN17" s="301">
        <v>1.7478015959967985</v>
      </c>
      <c r="AO17" s="301">
        <v>3.7728387300679422</v>
      </c>
      <c r="AP17" s="301">
        <v>1.7178423897993678</v>
      </c>
      <c r="AQ17" s="302">
        <v>1.650411698358289</v>
      </c>
      <c r="AR17" s="302"/>
      <c r="AS17" s="288">
        <f t="shared" si="1"/>
        <v>100.00000000000003</v>
      </c>
      <c r="AT17" s="288"/>
      <c r="AU17" s="292"/>
      <c r="AV17" s="292"/>
      <c r="AW17" s="292"/>
      <c r="AX17" s="292"/>
      <c r="AY17" s="973"/>
      <c r="AZ17" s="973"/>
    </row>
    <row r="18" spans="1:52" ht="13.15" hidden="1" customHeight="1">
      <c r="A18" s="300">
        <v>5</v>
      </c>
      <c r="B18" s="300" t="s">
        <v>819</v>
      </c>
      <c r="C18" s="300"/>
      <c r="D18" s="300"/>
      <c r="E18" s="300"/>
      <c r="F18" s="300"/>
      <c r="G18" s="300"/>
      <c r="H18" s="301">
        <v>7.9852317288190342</v>
      </c>
      <c r="I18" s="301">
        <v>8.66011784435746</v>
      </c>
      <c r="J18" s="301">
        <v>8.8534605591488571</v>
      </c>
      <c r="K18" s="301">
        <v>4.1024775536252802</v>
      </c>
      <c r="L18" s="301">
        <v>7.3923217083483408</v>
      </c>
      <c r="M18" s="301">
        <v>3.5525120673836637</v>
      </c>
      <c r="N18" s="301">
        <v>5.8310783530835826</v>
      </c>
      <c r="O18" s="301">
        <v>3.1105485922713956</v>
      </c>
      <c r="P18" s="301">
        <v>2.5199330297495353</v>
      </c>
      <c r="Q18" s="301">
        <v>2.6005248699972947</v>
      </c>
      <c r="R18" s="455">
        <v>7.1892695531763575</v>
      </c>
      <c r="S18" s="301">
        <v>2.2073411047333393</v>
      </c>
      <c r="T18" s="301">
        <v>2.0565851576881795</v>
      </c>
      <c r="U18" s="301">
        <v>2.4667604905802345</v>
      </c>
      <c r="V18" s="455">
        <v>3.788346524650259</v>
      </c>
      <c r="W18" s="301">
        <v>2.1457653062783071</v>
      </c>
      <c r="X18" s="455">
        <v>3.9942624777221973</v>
      </c>
      <c r="Y18" s="301">
        <v>1.7746021439761153</v>
      </c>
      <c r="Z18" s="455">
        <v>1.9911581624976888</v>
      </c>
      <c r="AA18" s="301">
        <v>2.7691759541852594</v>
      </c>
      <c r="AB18" s="301">
        <v>1.9370756082924363</v>
      </c>
      <c r="AC18" s="301" t="s">
        <v>815</v>
      </c>
      <c r="AD18" s="301" t="s">
        <v>815</v>
      </c>
      <c r="AE18" s="301">
        <v>1.1798901482884152</v>
      </c>
      <c r="AF18" s="301">
        <v>1.3002917628975719</v>
      </c>
      <c r="AG18" s="301">
        <v>2.0972212641523775</v>
      </c>
      <c r="AH18" s="301" t="s">
        <v>815</v>
      </c>
      <c r="AI18" s="301" t="s">
        <v>815</v>
      </c>
      <c r="AJ18" s="301">
        <v>1.210587964873385</v>
      </c>
      <c r="AK18" s="301">
        <v>1.5466763003546022</v>
      </c>
      <c r="AL18" s="301">
        <v>0.85390760481698136</v>
      </c>
      <c r="AM18" s="301" t="s">
        <v>815</v>
      </c>
      <c r="AN18" s="301">
        <v>1.3999473719059434</v>
      </c>
      <c r="AO18" s="301">
        <v>1.2895535912475327</v>
      </c>
      <c r="AP18" s="301">
        <v>0.81229803110916821</v>
      </c>
      <c r="AQ18" s="302">
        <v>1.3810771697892157</v>
      </c>
      <c r="AR18" s="302"/>
      <c r="AS18" s="288">
        <f t="shared" si="1"/>
        <v>100.00000000000001</v>
      </c>
      <c r="AT18" s="288"/>
      <c r="AU18" s="292"/>
      <c r="AV18" s="292"/>
      <c r="AW18" s="292"/>
      <c r="AX18" s="292"/>
      <c r="AY18" s="973"/>
      <c r="AZ18" s="973"/>
    </row>
    <row r="19" spans="1:52" ht="13.15" hidden="1" customHeight="1">
      <c r="A19" s="300">
        <v>6</v>
      </c>
      <c r="B19" s="300" t="s">
        <v>820</v>
      </c>
      <c r="C19" s="300"/>
      <c r="D19" s="300"/>
      <c r="E19" s="300"/>
      <c r="F19" s="300"/>
      <c r="G19" s="300"/>
      <c r="H19" s="301">
        <v>5.3932214466257866</v>
      </c>
      <c r="I19" s="301">
        <v>4.6169911909906682</v>
      </c>
      <c r="J19" s="301">
        <v>4.6087442230489284</v>
      </c>
      <c r="K19" s="301">
        <v>2.2441041933159065</v>
      </c>
      <c r="L19" s="301">
        <v>4.5283469763064161</v>
      </c>
      <c r="M19" s="301">
        <v>2.1905615127214761</v>
      </c>
      <c r="N19" s="301">
        <v>4.4457449708978238</v>
      </c>
      <c r="O19" s="301">
        <v>2.0817152836039554</v>
      </c>
      <c r="P19" s="301">
        <v>2.1150623816739826</v>
      </c>
      <c r="Q19" s="301">
        <v>2.0556995153192172</v>
      </c>
      <c r="R19" s="455">
        <v>6.7104596682623594</v>
      </c>
      <c r="S19" s="301">
        <v>2.04115844808083</v>
      </c>
      <c r="T19" s="301">
        <v>1.9942319933721739</v>
      </c>
      <c r="U19" s="301">
        <v>1.960870775308833</v>
      </c>
      <c r="V19" s="455">
        <v>4.2296462874888352</v>
      </c>
      <c r="W19" s="301">
        <v>1.9295940887109706</v>
      </c>
      <c r="X19" s="455">
        <v>4.1749284333224059</v>
      </c>
      <c r="Y19" s="301">
        <v>1.8545896021971104</v>
      </c>
      <c r="Z19" s="455">
        <v>1.8940104210574769</v>
      </c>
      <c r="AA19" s="301">
        <v>4.0334792824792167</v>
      </c>
      <c r="AB19" s="301">
        <v>1.947410594069398</v>
      </c>
      <c r="AC19" s="301">
        <v>2.0636354285915455</v>
      </c>
      <c r="AD19" s="301">
        <v>1.9988929980814985</v>
      </c>
      <c r="AE19" s="301">
        <v>1.8543540106379253</v>
      </c>
      <c r="AF19" s="301">
        <v>1.8011987370996936</v>
      </c>
      <c r="AG19" s="301">
        <v>4.2036935087625444</v>
      </c>
      <c r="AH19" s="301">
        <v>1.8267138311097613</v>
      </c>
      <c r="AI19" s="301">
        <v>1.9931069367353516</v>
      </c>
      <c r="AJ19" s="301">
        <v>1.8978619697492614</v>
      </c>
      <c r="AK19" s="301">
        <v>1.9224279893205096</v>
      </c>
      <c r="AL19" s="301">
        <v>1.9644142756625884</v>
      </c>
      <c r="AM19" s="301">
        <v>1.7320226288702361</v>
      </c>
      <c r="AN19" s="301">
        <v>1.951474054724851</v>
      </c>
      <c r="AO19" s="301">
        <v>4.2210340462052018</v>
      </c>
      <c r="AP19" s="301">
        <v>1.7823238678518474</v>
      </c>
      <c r="AQ19" s="302">
        <v>1.7362744277434026</v>
      </c>
      <c r="AR19" s="302"/>
      <c r="AS19" s="288">
        <f t="shared" si="1"/>
        <v>99.999999999999972</v>
      </c>
      <c r="AT19" s="288"/>
      <c r="AU19" s="292"/>
      <c r="AV19" s="292"/>
      <c r="AW19" s="292"/>
      <c r="AX19" s="292"/>
      <c r="AY19" s="973"/>
      <c r="AZ19" s="973"/>
    </row>
    <row r="20" spans="1:52" ht="13.15" hidden="1" customHeight="1">
      <c r="A20" s="300">
        <v>7</v>
      </c>
      <c r="B20" s="300" t="s">
        <v>821</v>
      </c>
      <c r="C20" s="300"/>
      <c r="D20" s="300"/>
      <c r="E20" s="300"/>
      <c r="F20" s="300"/>
      <c r="G20" s="300"/>
      <c r="H20" s="301">
        <v>7.9650586086534378</v>
      </c>
      <c r="I20" s="301">
        <v>8.0384825799731399</v>
      </c>
      <c r="J20" s="301">
        <v>8.1540649520114439</v>
      </c>
      <c r="K20" s="301">
        <v>3.7672316995454174</v>
      </c>
      <c r="L20" s="301">
        <v>6.8053074555644031</v>
      </c>
      <c r="M20" s="301">
        <v>3.0679067479082769</v>
      </c>
      <c r="N20" s="301">
        <v>5.689103047760824</v>
      </c>
      <c r="O20" s="301">
        <v>2.7276741504525783</v>
      </c>
      <c r="P20" s="301">
        <v>2.3924960189859581</v>
      </c>
      <c r="Q20" s="301">
        <v>2.4322268288572944</v>
      </c>
      <c r="R20" s="455">
        <v>6.9064702711807522</v>
      </c>
      <c r="S20" s="301">
        <v>2.1577476071600095</v>
      </c>
      <c r="T20" s="301">
        <v>1.9148223727096094</v>
      </c>
      <c r="U20" s="301">
        <v>1.8932787487914913</v>
      </c>
      <c r="V20" s="455">
        <v>3.5372292499078233</v>
      </c>
      <c r="W20" s="301">
        <v>1.8625932907738534</v>
      </c>
      <c r="X20" s="455">
        <v>3.3760227278498331</v>
      </c>
      <c r="Y20" s="301">
        <v>1.6564143561947966</v>
      </c>
      <c r="Z20" s="455">
        <v>1.7063207360662767</v>
      </c>
      <c r="AA20" s="301">
        <v>2.5237123380646809</v>
      </c>
      <c r="AB20" s="301">
        <v>1.5870558306923217</v>
      </c>
      <c r="AC20" s="301">
        <v>1.1455350266316846</v>
      </c>
      <c r="AD20" s="301">
        <v>1.6598861141593551</v>
      </c>
      <c r="AE20" s="301">
        <v>1.0332680069222608</v>
      </c>
      <c r="AF20" s="301">
        <v>1.3245605972004391</v>
      </c>
      <c r="AG20" s="301">
        <v>1.8329161453678278</v>
      </c>
      <c r="AH20" s="301">
        <v>1.2847497823549925</v>
      </c>
      <c r="AI20" s="301">
        <v>0.85013633318753534</v>
      </c>
      <c r="AJ20" s="301">
        <v>1.1965736054402687</v>
      </c>
      <c r="AK20" s="301">
        <v>1.5168029663363338</v>
      </c>
      <c r="AL20" s="301">
        <v>0.71225580259195864</v>
      </c>
      <c r="AM20" s="301">
        <v>0.8512485325130642</v>
      </c>
      <c r="AN20" s="301">
        <v>1.2712868389695622</v>
      </c>
      <c r="AO20" s="301">
        <v>1.1448888283852259</v>
      </c>
      <c r="AP20" s="301">
        <v>2.8340837406411135</v>
      </c>
      <c r="AQ20" s="302">
        <v>1.1805880601941448</v>
      </c>
      <c r="AR20" s="302"/>
      <c r="AS20" s="288">
        <f t="shared" si="1"/>
        <v>99.999999999999986</v>
      </c>
      <c r="AT20" s="288"/>
      <c r="AU20" s="292"/>
      <c r="AV20" s="292"/>
      <c r="AW20" s="292"/>
      <c r="AX20" s="292"/>
      <c r="AY20" s="973"/>
      <c r="AZ20" s="973"/>
    </row>
    <row r="21" spans="1:52" ht="13.15" hidden="1" customHeight="1">
      <c r="A21" s="300">
        <v>8</v>
      </c>
      <c r="B21" s="300" t="s">
        <v>822</v>
      </c>
      <c r="C21" s="300"/>
      <c r="D21" s="300"/>
      <c r="E21" s="300"/>
      <c r="F21" s="300"/>
      <c r="G21" s="300"/>
      <c r="H21" s="301">
        <v>4.6522617836998448</v>
      </c>
      <c r="I21" s="301">
        <v>4.0631735648168474</v>
      </c>
      <c r="J21" s="301">
        <v>4.0540534943040996</v>
      </c>
      <c r="K21" s="301">
        <v>2.0320144183067814</v>
      </c>
      <c r="L21" s="301">
        <v>4.09078385277697</v>
      </c>
      <c r="M21" s="301">
        <v>2.0542698541814319</v>
      </c>
      <c r="N21" s="301">
        <v>4.0973512145557782</v>
      </c>
      <c r="O21" s="301">
        <v>2.0480052597457359</v>
      </c>
      <c r="P21" s="301">
        <v>2.0620759730800469</v>
      </c>
      <c r="Q21" s="301">
        <v>2.0529066296821576</v>
      </c>
      <c r="R21" s="455">
        <v>6.1778648500862969</v>
      </c>
      <c r="S21" s="301">
        <v>2.0477202451713361</v>
      </c>
      <c r="T21" s="301">
        <v>2.0698765825991847</v>
      </c>
      <c r="U21" s="301">
        <v>2.0541918865777107</v>
      </c>
      <c r="V21" s="455">
        <v>4.1360420376545379</v>
      </c>
      <c r="W21" s="301">
        <v>2.0607103361168684</v>
      </c>
      <c r="X21" s="455">
        <v>4.1260426548099041</v>
      </c>
      <c r="Y21" s="301">
        <v>2.0766848463562075</v>
      </c>
      <c r="Z21" s="455">
        <v>2.0788567629334067</v>
      </c>
      <c r="AA21" s="301">
        <v>4.157129576449873</v>
      </c>
      <c r="AB21" s="301">
        <v>2.0642501502688342</v>
      </c>
      <c r="AC21" s="301">
        <v>2.0912819598131067</v>
      </c>
      <c r="AD21" s="301">
        <v>2.0705280396327668</v>
      </c>
      <c r="AE21" s="301">
        <v>2.0904714659224544</v>
      </c>
      <c r="AF21" s="301">
        <v>2.0906264392210909</v>
      </c>
      <c r="AG21" s="301">
        <v>4.2331890988084151</v>
      </c>
      <c r="AH21" s="301">
        <v>2.0636216362054309</v>
      </c>
      <c r="AI21" s="301">
        <v>2.1074924030048985</v>
      </c>
      <c r="AJ21" s="301">
        <v>2.0842278951739743</v>
      </c>
      <c r="AK21" s="301">
        <v>2.0689556354315841</v>
      </c>
      <c r="AL21" s="301">
        <v>2.1386256022679051</v>
      </c>
      <c r="AM21" s="301">
        <v>2.0985065203203899</v>
      </c>
      <c r="AN21" s="301">
        <v>2.1168526388864377</v>
      </c>
      <c r="AO21" s="301">
        <v>4.2878912430173797</v>
      </c>
      <c r="AP21" s="301">
        <v>2.101850993768609</v>
      </c>
      <c r="AQ21" s="302">
        <v>2.0996124543516905</v>
      </c>
      <c r="AR21" s="302"/>
      <c r="AS21" s="288">
        <f t="shared" si="1"/>
        <v>99.999999999999957</v>
      </c>
      <c r="AT21" s="288"/>
      <c r="AU21" s="292"/>
      <c r="AV21" s="292"/>
      <c r="AW21" s="292"/>
      <c r="AX21" s="292"/>
      <c r="AY21" s="973"/>
      <c r="AZ21" s="973"/>
    </row>
    <row r="22" spans="1:52" ht="13.15" hidden="1" customHeight="1">
      <c r="A22" s="300">
        <v>44</v>
      </c>
      <c r="B22" s="300" t="s">
        <v>816</v>
      </c>
      <c r="C22" s="300"/>
      <c r="D22" s="300"/>
      <c r="E22" s="300"/>
      <c r="F22" s="300"/>
      <c r="G22" s="300"/>
      <c r="H22" s="301">
        <v>6.8194714405602772</v>
      </c>
      <c r="I22" s="301">
        <v>6.2450068910020011</v>
      </c>
      <c r="J22" s="301">
        <v>5.9502037436759121</v>
      </c>
      <c r="K22" s="301">
        <v>2.8122520537271183</v>
      </c>
      <c r="L22" s="301">
        <v>5.4401964863464478</v>
      </c>
      <c r="M22" s="301">
        <v>2.5449597936620765</v>
      </c>
      <c r="N22" s="301">
        <v>4.8802938465341708</v>
      </c>
      <c r="O22" s="301">
        <v>2.2215914889079009</v>
      </c>
      <c r="P22" s="301">
        <v>2.1531015170126042</v>
      </c>
      <c r="Q22" s="301">
        <v>2.1036140481804999</v>
      </c>
      <c r="R22" s="455">
        <v>6.7199320149916719</v>
      </c>
      <c r="S22" s="301">
        <v>2.0374459133370402</v>
      </c>
      <c r="T22" s="301">
        <v>1.8517709550823795</v>
      </c>
      <c r="U22" s="301">
        <v>1.8588479528727526</v>
      </c>
      <c r="V22" s="455">
        <v>3.7346454531548132</v>
      </c>
      <c r="W22" s="301">
        <v>1.7678610651853761</v>
      </c>
      <c r="X22" s="455">
        <v>3.5851960426151064</v>
      </c>
      <c r="Y22" s="301">
        <v>1.6596152873098198</v>
      </c>
      <c r="Z22" s="455">
        <v>1.7685727180871293</v>
      </c>
      <c r="AA22" s="301">
        <v>3.3927724050934187</v>
      </c>
      <c r="AB22" s="301">
        <v>1.7073623515955838</v>
      </c>
      <c r="AC22" s="301">
        <v>1.7927800136019341</v>
      </c>
      <c r="AD22" s="301">
        <v>1.8163606615697765</v>
      </c>
      <c r="AE22" s="301">
        <v>1.5054060403818113</v>
      </c>
      <c r="AF22" s="301">
        <v>1.4955655436846247</v>
      </c>
      <c r="AG22" s="301">
        <v>3.3724741868209103</v>
      </c>
      <c r="AH22" s="301">
        <v>1.4262469266506286</v>
      </c>
      <c r="AI22" s="301">
        <v>1.4672958774944556</v>
      </c>
      <c r="AJ22" s="301">
        <v>1.4794505988117181</v>
      </c>
      <c r="AK22" s="301">
        <v>1.4655861293274131</v>
      </c>
      <c r="AL22" s="301">
        <v>1.5305627545622595</v>
      </c>
      <c r="AM22" s="301">
        <v>1.403056898587665</v>
      </c>
      <c r="AN22" s="301">
        <v>1.5851769638377236</v>
      </c>
      <c r="AO22" s="301">
        <v>3.0255740537826052</v>
      </c>
      <c r="AP22" s="301">
        <v>3.8566892944052587</v>
      </c>
      <c r="AQ22" s="302">
        <v>1.5230605875471086</v>
      </c>
      <c r="AR22" s="302"/>
      <c r="AS22" s="288">
        <f t="shared" si="1"/>
        <v>99.999999999999986</v>
      </c>
      <c r="AT22" s="288"/>
      <c r="AU22" s="292"/>
      <c r="AV22" s="292"/>
      <c r="AW22" s="292"/>
      <c r="AX22" s="292"/>
      <c r="AY22" s="973"/>
      <c r="AZ22" s="973"/>
    </row>
    <row r="23" spans="1:52" ht="13.15" hidden="1" customHeight="1">
      <c r="A23" s="300">
        <v>45</v>
      </c>
      <c r="B23" s="300" t="s">
        <v>817</v>
      </c>
      <c r="C23" s="300"/>
      <c r="D23" s="300"/>
      <c r="E23" s="300"/>
      <c r="F23" s="300"/>
      <c r="G23" s="300"/>
      <c r="H23" s="301">
        <v>3.4084560007149287</v>
      </c>
      <c r="I23" s="301">
        <v>6.1317039834475491</v>
      </c>
      <c r="J23" s="301">
        <v>7.7498162948582214</v>
      </c>
      <c r="K23" s="301">
        <v>3.8233074114620975</v>
      </c>
      <c r="L23" s="301">
        <v>7.248472728076826</v>
      </c>
      <c r="M23" s="301">
        <v>3.2872657363432611</v>
      </c>
      <c r="N23" s="301">
        <v>6.2602390908793746</v>
      </c>
      <c r="O23" s="301">
        <v>3.0316252171528242</v>
      </c>
      <c r="P23" s="301">
        <v>2.6875809832716135</v>
      </c>
      <c r="Q23" s="301">
        <v>2.6511017476688594</v>
      </c>
      <c r="R23" s="455">
        <v>7.7095144526863688</v>
      </c>
      <c r="S23" s="301">
        <v>2.5455781352039772</v>
      </c>
      <c r="T23" s="301">
        <v>2.1601414157665855</v>
      </c>
      <c r="U23" s="301">
        <v>2.2861976601209379</v>
      </c>
      <c r="V23" s="455">
        <v>3.7374523065920235</v>
      </c>
      <c r="W23" s="301">
        <v>2.9947718029669059</v>
      </c>
      <c r="X23" s="455">
        <v>3.5156249347875805</v>
      </c>
      <c r="Y23" s="301">
        <v>2.0739650220178967</v>
      </c>
      <c r="Z23" s="455">
        <v>1.9134867226835295</v>
      </c>
      <c r="AA23" s="301">
        <v>2.4180021221602352</v>
      </c>
      <c r="AB23" s="301">
        <v>1.7366949907697722</v>
      </c>
      <c r="AC23" s="301" t="s">
        <v>815</v>
      </c>
      <c r="AD23" s="301">
        <v>1.9082945018154784</v>
      </c>
      <c r="AE23" s="301">
        <v>0.84917297932363534</v>
      </c>
      <c r="AF23" s="301">
        <v>1.3575096788723202</v>
      </c>
      <c r="AG23" s="301">
        <v>1.3038723787228301</v>
      </c>
      <c r="AH23" s="301">
        <v>1.3466545230548612</v>
      </c>
      <c r="AI23" s="301" t="s">
        <v>815</v>
      </c>
      <c r="AJ23" s="301">
        <v>1.1749342186855236</v>
      </c>
      <c r="AK23" s="301">
        <v>1.3223189148693257</v>
      </c>
      <c r="AL23" s="301">
        <v>0.57336447007127433</v>
      </c>
      <c r="AM23" s="301">
        <v>1.0886688008096612</v>
      </c>
      <c r="AN23" s="301">
        <v>1.5654763544200925</v>
      </c>
      <c r="AO23" s="301">
        <v>0.55010346052090597</v>
      </c>
      <c r="AP23" s="301">
        <v>6.0219985991513214</v>
      </c>
      <c r="AQ23" s="302">
        <v>1.5666323600514194</v>
      </c>
      <c r="AR23" s="302"/>
      <c r="AS23" s="288">
        <f t="shared" si="1"/>
        <v>100.00000000000003</v>
      </c>
      <c r="AT23" s="288"/>
      <c r="AU23" s="292"/>
      <c r="AV23" s="292"/>
      <c r="AW23" s="292"/>
      <c r="AX23" s="292"/>
      <c r="AY23" s="973"/>
      <c r="AZ23" s="973"/>
    </row>
    <row r="24" spans="1:52" ht="13.15" hidden="1" customHeight="1">
      <c r="A24" s="300">
        <v>46</v>
      </c>
      <c r="B24" s="300" t="s">
        <v>818</v>
      </c>
      <c r="C24" s="300"/>
      <c r="D24" s="300"/>
      <c r="E24" s="300"/>
      <c r="F24" s="300"/>
      <c r="G24" s="300"/>
      <c r="H24" s="301">
        <v>5.8031084924772083</v>
      </c>
      <c r="I24" s="301">
        <v>5.4965609697325846</v>
      </c>
      <c r="J24" s="301">
        <v>5.3806591393927174</v>
      </c>
      <c r="K24" s="301">
        <v>2.5594520861392751</v>
      </c>
      <c r="L24" s="301">
        <v>5.1119221195920979</v>
      </c>
      <c r="M24" s="301">
        <v>2.400326892986536</v>
      </c>
      <c r="N24" s="301">
        <v>4.8166884535837768</v>
      </c>
      <c r="O24" s="301">
        <v>2.2022095750566968</v>
      </c>
      <c r="P24" s="301">
        <v>2.191950897025412</v>
      </c>
      <c r="Q24" s="301">
        <v>2.0651119033027077</v>
      </c>
      <c r="R24" s="455">
        <v>7.1237623631470592</v>
      </c>
      <c r="S24" s="301">
        <v>2.0242149133524219</v>
      </c>
      <c r="T24" s="301">
        <v>1.9393610358752003</v>
      </c>
      <c r="U24" s="301">
        <v>1.9142769743286385</v>
      </c>
      <c r="V24" s="455">
        <v>4.1969806686130617</v>
      </c>
      <c r="W24" s="301">
        <v>1.8603847976051076</v>
      </c>
      <c r="X24" s="455">
        <v>4.1645177971914178</v>
      </c>
      <c r="Y24" s="301">
        <v>1.7376048339156827</v>
      </c>
      <c r="Z24" s="455">
        <v>1.813901023945949</v>
      </c>
      <c r="AA24" s="301">
        <v>3.7988287607095215</v>
      </c>
      <c r="AB24" s="301">
        <v>1.830550609129088</v>
      </c>
      <c r="AC24" s="301">
        <v>1.9274763890704911</v>
      </c>
      <c r="AD24" s="301">
        <v>1.887391778298124</v>
      </c>
      <c r="AE24" s="301">
        <v>1.6462000843730491</v>
      </c>
      <c r="AF24" s="301">
        <v>1.5966380524206203</v>
      </c>
      <c r="AG24" s="301">
        <v>3.8000071870257486</v>
      </c>
      <c r="AH24" s="301">
        <v>1.6083989237039078</v>
      </c>
      <c r="AI24" s="301">
        <v>1.6746755504769344</v>
      </c>
      <c r="AJ24" s="301">
        <v>1.6677801694434464</v>
      </c>
      <c r="AK24" s="301">
        <v>1.7258798873402832</v>
      </c>
      <c r="AL24" s="301">
        <v>1.6974973344461932</v>
      </c>
      <c r="AM24" s="301">
        <v>1.5060662343603006</v>
      </c>
      <c r="AN24" s="301">
        <v>1.719419932209908</v>
      </c>
      <c r="AO24" s="301">
        <v>3.478057811258485</v>
      </c>
      <c r="AP24" s="301">
        <v>2.1308632376120786</v>
      </c>
      <c r="AQ24" s="302">
        <v>1.5012731208582566</v>
      </c>
      <c r="AR24" s="302"/>
      <c r="AS24" s="288">
        <f t="shared" si="1"/>
        <v>99.999999999999972</v>
      </c>
      <c r="AT24" s="288"/>
      <c r="AU24" s="292"/>
      <c r="AV24" s="292"/>
      <c r="AW24" s="292"/>
      <c r="AX24" s="292"/>
      <c r="AY24" s="973"/>
      <c r="AZ24" s="973"/>
    </row>
    <row r="25" spans="1:52" ht="13.15" hidden="1" customHeight="1">
      <c r="A25" s="300">
        <v>47</v>
      </c>
      <c r="B25" s="300" t="s">
        <v>819</v>
      </c>
      <c r="C25" s="300"/>
      <c r="D25" s="300"/>
      <c r="E25" s="300"/>
      <c r="F25" s="300"/>
      <c r="G25" s="300"/>
      <c r="H25" s="301">
        <v>5.4654980211145467</v>
      </c>
      <c r="I25" s="301">
        <v>5.0229223123910929</v>
      </c>
      <c r="J25" s="301">
        <v>4.9769967817843987</v>
      </c>
      <c r="K25" s="301">
        <v>2.4003913133495316</v>
      </c>
      <c r="L25" s="301">
        <v>4.8304611474087995</v>
      </c>
      <c r="M25" s="301">
        <v>2.3030237152441022</v>
      </c>
      <c r="N25" s="301">
        <v>4.6528953622921243</v>
      </c>
      <c r="O25" s="301">
        <v>2.2036279557372405</v>
      </c>
      <c r="P25" s="301">
        <v>2.1890750713336704</v>
      </c>
      <c r="Q25" s="301">
        <v>2.1018048975165708</v>
      </c>
      <c r="R25" s="455">
        <v>6.9753933267889758</v>
      </c>
      <c r="S25" s="301">
        <v>2.0755348788952626</v>
      </c>
      <c r="T25" s="301">
        <v>2.0103733180226868</v>
      </c>
      <c r="U25" s="301">
        <v>1.9952988638162938</v>
      </c>
      <c r="V25" s="455">
        <v>4.2944479041578232</v>
      </c>
      <c r="W25" s="301">
        <v>1.9327105692702575</v>
      </c>
      <c r="X25" s="455">
        <v>4.2446346530363606</v>
      </c>
      <c r="Y25" s="301">
        <v>1.8457283758516967</v>
      </c>
      <c r="Z25" s="455">
        <v>1.9014772877617097</v>
      </c>
      <c r="AA25" s="301">
        <v>3.9927139377374803</v>
      </c>
      <c r="AB25" s="301">
        <v>1.9297750827402482</v>
      </c>
      <c r="AC25" s="301">
        <v>1.9810100245799849</v>
      </c>
      <c r="AD25" s="301">
        <v>2.1355926567212489</v>
      </c>
      <c r="AE25" s="301">
        <v>1.7384861035231993</v>
      </c>
      <c r="AF25" s="301">
        <v>1.684271701769293</v>
      </c>
      <c r="AG25" s="301">
        <v>4.0294302104224329</v>
      </c>
      <c r="AH25" s="301">
        <v>1.661194550425958</v>
      </c>
      <c r="AI25" s="301">
        <v>1.8532391297609698</v>
      </c>
      <c r="AJ25" s="301">
        <v>1.8200596918509335</v>
      </c>
      <c r="AK25" s="301">
        <v>1.8617937637258597</v>
      </c>
      <c r="AL25" s="301">
        <v>1.771449848927624</v>
      </c>
      <c r="AM25" s="301">
        <v>1.5679387208329305</v>
      </c>
      <c r="AN25" s="301">
        <v>1.8515335116857108</v>
      </c>
      <c r="AO25" s="301">
        <v>3.7592621714900583</v>
      </c>
      <c r="AP25" s="301">
        <v>1.4357382169282618</v>
      </c>
      <c r="AQ25" s="302">
        <v>1.5042149211046845</v>
      </c>
      <c r="AR25" s="302"/>
      <c r="AS25" s="288">
        <f t="shared" si="1"/>
        <v>100.00000000000003</v>
      </c>
      <c r="AT25" s="288"/>
      <c r="AU25" s="292"/>
      <c r="AV25" s="292"/>
      <c r="AW25" s="292"/>
      <c r="AX25" s="292"/>
      <c r="AY25" s="973"/>
      <c r="AZ25" s="973"/>
    </row>
    <row r="26" spans="1:52" ht="13.15" hidden="1" customHeight="1">
      <c r="A26" s="300">
        <v>48</v>
      </c>
      <c r="B26" s="300" t="s">
        <v>820</v>
      </c>
      <c r="C26" s="300"/>
      <c r="D26" s="300"/>
      <c r="E26" s="300"/>
      <c r="F26" s="300"/>
      <c r="G26" s="300"/>
      <c r="H26" s="301">
        <v>4.6047366486479726</v>
      </c>
      <c r="I26" s="301">
        <v>4.4553683587650132</v>
      </c>
      <c r="J26" s="301">
        <v>4.5707276258438823</v>
      </c>
      <c r="K26" s="301">
        <v>2.239341385037247</v>
      </c>
      <c r="L26" s="301">
        <v>4.5319041339506141</v>
      </c>
      <c r="M26" s="301">
        <v>2.2079632053875953</v>
      </c>
      <c r="N26" s="301">
        <v>4.5043655686196438</v>
      </c>
      <c r="O26" s="301">
        <v>2.1437590404262981</v>
      </c>
      <c r="P26" s="301">
        <v>2.168133055226579</v>
      </c>
      <c r="Q26" s="301">
        <v>2.1128781782103632</v>
      </c>
      <c r="R26" s="455">
        <v>6.7136138672093661</v>
      </c>
      <c r="S26" s="301">
        <v>2.0909452954297532</v>
      </c>
      <c r="T26" s="301">
        <v>2.0553864053438509</v>
      </c>
      <c r="U26" s="301">
        <v>2.0532045557650624</v>
      </c>
      <c r="V26" s="455">
        <v>4.2977099862148798</v>
      </c>
      <c r="W26" s="301">
        <v>2.0204159980717811</v>
      </c>
      <c r="X26" s="455">
        <v>4.2714537413353613</v>
      </c>
      <c r="Y26" s="301">
        <v>1.9494990022301604</v>
      </c>
      <c r="Z26" s="455">
        <v>1.9905451244923358</v>
      </c>
      <c r="AA26" s="301">
        <v>4.1148840086069107</v>
      </c>
      <c r="AB26" s="301">
        <v>2.0076588792760512</v>
      </c>
      <c r="AC26" s="301">
        <v>2.0388249553486473</v>
      </c>
      <c r="AD26" s="301">
        <v>2.021092321605257</v>
      </c>
      <c r="AE26" s="301">
        <v>1.9138183723808495</v>
      </c>
      <c r="AF26" s="301">
        <v>1.8702300543783967</v>
      </c>
      <c r="AG26" s="301">
        <v>4.1499147164435604</v>
      </c>
      <c r="AH26" s="301">
        <v>1.8882015426391943</v>
      </c>
      <c r="AI26" s="301">
        <v>1.9632434473760141</v>
      </c>
      <c r="AJ26" s="301">
        <v>1.9472128738855605</v>
      </c>
      <c r="AK26" s="301">
        <v>1.9984736336157882</v>
      </c>
      <c r="AL26" s="301">
        <v>1.8528021135381976</v>
      </c>
      <c r="AM26" s="301">
        <v>1.7607818717136396</v>
      </c>
      <c r="AN26" s="301">
        <v>2.0143157884524254</v>
      </c>
      <c r="AO26" s="301">
        <v>3.9190383422709596</v>
      </c>
      <c r="AP26" s="301">
        <v>1.8422197675425309</v>
      </c>
      <c r="AQ26" s="302">
        <v>1.7153361347182732</v>
      </c>
      <c r="AR26" s="302"/>
      <c r="AS26" s="288">
        <f t="shared" si="1"/>
        <v>100.00000000000001</v>
      </c>
      <c r="AT26" s="288"/>
      <c r="AU26" s="292"/>
      <c r="AV26" s="292"/>
      <c r="AW26" s="292"/>
      <c r="AX26" s="292"/>
      <c r="AY26" s="973"/>
      <c r="AZ26" s="973"/>
    </row>
    <row r="27" spans="1:52" ht="13.15" hidden="1" customHeight="1">
      <c r="A27" s="300">
        <v>49</v>
      </c>
      <c r="B27" s="300" t="s">
        <v>821</v>
      </c>
      <c r="C27" s="300"/>
      <c r="D27" s="300"/>
      <c r="E27" s="300"/>
      <c r="F27" s="300"/>
      <c r="G27" s="300"/>
      <c r="H27" s="301">
        <v>4.4856929820702494</v>
      </c>
      <c r="I27" s="301">
        <v>4.2141779574523222</v>
      </c>
      <c r="J27" s="301">
        <v>4.2537831414633187</v>
      </c>
      <c r="K27" s="301">
        <v>2.1313392066372328</v>
      </c>
      <c r="L27" s="301">
        <v>4.2245257516271595</v>
      </c>
      <c r="M27" s="301">
        <v>2.1139159861296712</v>
      </c>
      <c r="N27" s="301">
        <v>4.2059576297049519</v>
      </c>
      <c r="O27" s="301">
        <v>2.101295481937921</v>
      </c>
      <c r="P27" s="301">
        <v>2.1112074210641216</v>
      </c>
      <c r="Q27" s="301">
        <v>2.0936969834645867</v>
      </c>
      <c r="R27" s="455">
        <v>6.3245109473562247</v>
      </c>
      <c r="S27" s="301">
        <v>2.1049939483741285</v>
      </c>
      <c r="T27" s="301">
        <v>2.0815505614107281</v>
      </c>
      <c r="U27" s="301">
        <v>2.0893266996165654</v>
      </c>
      <c r="V27" s="455">
        <v>4.1839319209582424</v>
      </c>
      <c r="W27" s="301">
        <v>2.072669443681685</v>
      </c>
      <c r="X27" s="455">
        <v>4.2502581247533495</v>
      </c>
      <c r="Y27" s="301">
        <v>2.0448042178075472</v>
      </c>
      <c r="Z27" s="455">
        <v>2.0567999096825784</v>
      </c>
      <c r="AA27" s="301">
        <v>4.146256265049467</v>
      </c>
      <c r="AB27" s="301">
        <v>2.0599426010304054</v>
      </c>
      <c r="AC27" s="301">
        <v>2.0966773058318311</v>
      </c>
      <c r="AD27" s="301">
        <v>2.0498512749605711</v>
      </c>
      <c r="AE27" s="301">
        <v>2.0434868310338938</v>
      </c>
      <c r="AF27" s="301">
        <v>2.0175663498373981</v>
      </c>
      <c r="AG27" s="301">
        <v>4.1192255344810667</v>
      </c>
      <c r="AH27" s="301">
        <v>2.0388525723076154</v>
      </c>
      <c r="AI27" s="301">
        <v>2.0446444052480444</v>
      </c>
      <c r="AJ27" s="301">
        <v>2.0398335038464288</v>
      </c>
      <c r="AK27" s="301">
        <v>2.0794734960512082</v>
      </c>
      <c r="AL27" s="301">
        <v>2.011518396334576</v>
      </c>
      <c r="AM27" s="301">
        <v>1.9808106911893937</v>
      </c>
      <c r="AN27" s="301">
        <v>2.1077758952347954</v>
      </c>
      <c r="AO27" s="301">
        <v>4.050661597058304</v>
      </c>
      <c r="AP27" s="301">
        <v>2.0061921091675909</v>
      </c>
      <c r="AQ27" s="302">
        <v>1.9627928561448049</v>
      </c>
      <c r="AR27" s="302"/>
      <c r="AS27" s="288">
        <f t="shared" si="1"/>
        <v>99.999999999999972</v>
      </c>
      <c r="AT27" s="288"/>
      <c r="AU27" s="292"/>
      <c r="AV27" s="292"/>
      <c r="AW27" s="292"/>
      <c r="AX27" s="292"/>
      <c r="AY27" s="973"/>
      <c r="AZ27" s="973"/>
    </row>
    <row r="28" spans="1:52" ht="13.15" hidden="1" customHeight="1">
      <c r="A28" s="300">
        <v>50</v>
      </c>
      <c r="B28" s="300" t="s">
        <v>822</v>
      </c>
      <c r="C28" s="300"/>
      <c r="D28" s="300"/>
      <c r="E28" s="300"/>
      <c r="F28" s="300"/>
      <c r="G28" s="300"/>
      <c r="H28" s="301">
        <v>3.5593561759022498</v>
      </c>
      <c r="I28" s="301">
        <v>4.215816048712087</v>
      </c>
      <c r="J28" s="301">
        <v>4.2110468357001247</v>
      </c>
      <c r="K28" s="301">
        <v>2.1042486251111843</v>
      </c>
      <c r="L28" s="301">
        <v>4.1901264790620418</v>
      </c>
      <c r="M28" s="301">
        <v>2.091935217474584</v>
      </c>
      <c r="N28" s="301">
        <v>4.1948033938544418</v>
      </c>
      <c r="O28" s="301">
        <v>2.1081099634539386</v>
      </c>
      <c r="P28" s="301">
        <v>2.0907897714334736</v>
      </c>
      <c r="Q28" s="301">
        <v>2.1086651952499551</v>
      </c>
      <c r="R28" s="455">
        <v>6.2595080915065626</v>
      </c>
      <c r="S28" s="301">
        <v>2.1123280805748998</v>
      </c>
      <c r="T28" s="301">
        <v>2.1011603930947338</v>
      </c>
      <c r="U28" s="301">
        <v>2.1150344159162233</v>
      </c>
      <c r="V28" s="455">
        <v>4.1836096078681466</v>
      </c>
      <c r="W28" s="301">
        <v>2.1161828896316961</v>
      </c>
      <c r="X28" s="455">
        <v>4.1789150005917914</v>
      </c>
      <c r="Y28" s="301">
        <v>2.1142459003614991</v>
      </c>
      <c r="Z28" s="455">
        <v>2.1057788770888601</v>
      </c>
      <c r="AA28" s="301">
        <v>4.1898489826470158</v>
      </c>
      <c r="AB28" s="301">
        <v>2.1163378672547615</v>
      </c>
      <c r="AC28" s="301">
        <v>2.0764044798936845</v>
      </c>
      <c r="AD28" s="301">
        <v>2.1089902188491174</v>
      </c>
      <c r="AE28" s="301">
        <v>2.1042296361238244</v>
      </c>
      <c r="AF28" s="301">
        <v>2.1144128750938966</v>
      </c>
      <c r="AG28" s="301">
        <v>4.1190142515231116</v>
      </c>
      <c r="AH28" s="301">
        <v>2.1331858836984248</v>
      </c>
      <c r="AI28" s="301">
        <v>2.0811140339445999</v>
      </c>
      <c r="AJ28" s="301">
        <v>2.1078675186261018</v>
      </c>
      <c r="AK28" s="301">
        <v>2.1088226663669469</v>
      </c>
      <c r="AL28" s="301">
        <v>2.0659574931646874</v>
      </c>
      <c r="AM28" s="301">
        <v>2.1238199554656307</v>
      </c>
      <c r="AN28" s="301">
        <v>2.0551330429376091</v>
      </c>
      <c r="AO28" s="301">
        <v>4.0963191853329555</v>
      </c>
      <c r="AP28" s="301">
        <v>2.1078266664672585</v>
      </c>
      <c r="AQ28" s="302">
        <v>2.1290542800218915</v>
      </c>
      <c r="AR28" s="302"/>
      <c r="AS28" s="288">
        <f t="shared" si="1"/>
        <v>100.00000000000001</v>
      </c>
      <c r="AT28" s="288"/>
      <c r="AU28" s="292"/>
      <c r="AV28" s="292"/>
      <c r="AW28" s="292"/>
      <c r="AX28" s="292"/>
      <c r="AY28" s="973"/>
      <c r="AZ28" s="973"/>
    </row>
    <row r="29" spans="1:52" ht="13.15" hidden="1" customHeight="1">
      <c r="A29" s="300">
        <v>75</v>
      </c>
      <c r="B29" s="300" t="s">
        <v>816</v>
      </c>
      <c r="C29" s="300"/>
      <c r="D29" s="300"/>
      <c r="E29" s="300"/>
      <c r="F29" s="300"/>
      <c r="G29" s="300"/>
      <c r="H29" s="301">
        <v>5.2967619201541805</v>
      </c>
      <c r="I29" s="301">
        <v>6.4238023187423252</v>
      </c>
      <c r="J29" s="301">
        <v>6.1496201211339994</v>
      </c>
      <c r="K29" s="301">
        <v>2.8998044310818893</v>
      </c>
      <c r="L29" s="301">
        <v>5.5900554269604852</v>
      </c>
      <c r="M29" s="301">
        <v>2.6172296876264278</v>
      </c>
      <c r="N29" s="301">
        <v>5.0179428174509484</v>
      </c>
      <c r="O29" s="301">
        <v>2.2875536591724432</v>
      </c>
      <c r="P29" s="301">
        <v>2.2198810716964328</v>
      </c>
      <c r="Q29" s="301">
        <v>2.1309415292146663</v>
      </c>
      <c r="R29" s="455">
        <v>7.0165292714527228</v>
      </c>
      <c r="S29" s="301">
        <v>1.9860419355929799</v>
      </c>
      <c r="T29" s="301">
        <v>1.9362031676244627</v>
      </c>
      <c r="U29" s="301">
        <v>1.8875338419445575</v>
      </c>
      <c r="V29" s="455">
        <v>3.8938065901435737</v>
      </c>
      <c r="W29" s="301">
        <v>1.9733416335108629</v>
      </c>
      <c r="X29" s="455">
        <v>3.8369144240933797</v>
      </c>
      <c r="Y29" s="301">
        <v>1.6761805242191026</v>
      </c>
      <c r="Z29" s="455">
        <v>1.8039005333489737</v>
      </c>
      <c r="AA29" s="301">
        <v>3.4755159495966859</v>
      </c>
      <c r="AB29" s="301">
        <v>1.7442845027657496</v>
      </c>
      <c r="AC29" s="301">
        <v>1.7243964844422275</v>
      </c>
      <c r="AD29" s="301">
        <v>1.7127997517642577</v>
      </c>
      <c r="AE29" s="301">
        <v>1.5414494818465065</v>
      </c>
      <c r="AF29" s="301">
        <v>1.5737874875242184</v>
      </c>
      <c r="AG29" s="301">
        <v>3.3563384611214966</v>
      </c>
      <c r="AH29" s="301">
        <v>1.5371799668643</v>
      </c>
      <c r="AI29" s="301">
        <v>1.5828745279014984</v>
      </c>
      <c r="AJ29" s="301">
        <v>1.5115607469775609</v>
      </c>
      <c r="AK29" s="301">
        <v>1.4683696660138701</v>
      </c>
      <c r="AL29" s="301">
        <v>1.4787705944969032</v>
      </c>
      <c r="AM29" s="301">
        <v>1.3357234844816188</v>
      </c>
      <c r="AN29" s="301">
        <v>1.5373832616650842</v>
      </c>
      <c r="AO29" s="301">
        <v>2.9144350988396122</v>
      </c>
      <c r="AP29" s="301">
        <v>3.4218993230215009</v>
      </c>
      <c r="AQ29" s="302">
        <v>1.4391863055124914</v>
      </c>
      <c r="AR29" s="302"/>
      <c r="AS29" s="288">
        <f t="shared" si="1"/>
        <v>100.00000000000003</v>
      </c>
      <c r="AT29" s="288"/>
      <c r="AU29" s="292"/>
      <c r="AV29" s="292"/>
      <c r="AW29" s="292"/>
      <c r="AX29" s="292"/>
      <c r="AY29" s="973"/>
      <c r="AZ29" s="973"/>
    </row>
    <row r="30" spans="1:52" ht="13.15" hidden="1" customHeight="1">
      <c r="A30" s="300">
        <v>76</v>
      </c>
      <c r="B30" s="300" t="s">
        <v>817</v>
      </c>
      <c r="C30" s="300"/>
      <c r="D30" s="300"/>
      <c r="E30" s="300"/>
      <c r="F30" s="300"/>
      <c r="G30" s="300"/>
      <c r="H30" s="301">
        <v>13.364657466281932</v>
      </c>
      <c r="I30" s="301">
        <v>12.829160950845498</v>
      </c>
      <c r="J30" s="301">
        <v>10.409866737120492</v>
      </c>
      <c r="K30" s="301">
        <v>4.7905820498685179</v>
      </c>
      <c r="L30" s="301">
        <v>8.0639446105108465</v>
      </c>
      <c r="M30" s="301">
        <v>4.1775283004061361</v>
      </c>
      <c r="N30" s="301">
        <v>6.7755707841517294</v>
      </c>
      <c r="O30" s="301">
        <v>5.3865293041542142</v>
      </c>
      <c r="P30" s="301">
        <v>2.3882383736659829</v>
      </c>
      <c r="Q30" s="301" t="s">
        <v>815</v>
      </c>
      <c r="R30" s="455">
        <v>8.5082504721772487</v>
      </c>
      <c r="S30" s="301" t="s">
        <v>815</v>
      </c>
      <c r="T30" s="301">
        <v>2.3608331686220394</v>
      </c>
      <c r="U30" s="301" t="s">
        <v>815</v>
      </c>
      <c r="V30" s="455">
        <v>3.853358158675932</v>
      </c>
      <c r="W30" s="301">
        <v>9.6778042731203762</v>
      </c>
      <c r="X30" s="455" t="s">
        <v>815</v>
      </c>
      <c r="Y30" s="301" t="s">
        <v>815</v>
      </c>
      <c r="Z30" s="455" t="s">
        <v>815</v>
      </c>
      <c r="AA30" s="301">
        <v>2.3876574086937068</v>
      </c>
      <c r="AB30" s="301" t="s">
        <v>815</v>
      </c>
      <c r="AC30" s="301" t="s">
        <v>815</v>
      </c>
      <c r="AD30" s="301">
        <v>1.8602167336118018</v>
      </c>
      <c r="AE30" s="301">
        <v>1.0714076839117688</v>
      </c>
      <c r="AF30" s="301" t="s">
        <v>815</v>
      </c>
      <c r="AG30" s="301">
        <v>1.748231779646729</v>
      </c>
      <c r="AH30" s="301">
        <v>0.29861525315843235</v>
      </c>
      <c r="AI30" s="301" t="s">
        <v>815</v>
      </c>
      <c r="AJ30" s="301" t="s">
        <v>815</v>
      </c>
      <c r="AK30" s="301" t="s">
        <v>815</v>
      </c>
      <c r="AL30" s="301" t="s">
        <v>815</v>
      </c>
      <c r="AM30" s="301" t="s">
        <v>815</v>
      </c>
      <c r="AN30" s="301" t="s">
        <v>815</v>
      </c>
      <c r="AO30" s="301" t="s">
        <v>815</v>
      </c>
      <c r="AP30" s="301">
        <v>4.7546491376633034E-2</v>
      </c>
      <c r="AQ30" s="302" t="s">
        <v>815</v>
      </c>
      <c r="AR30" s="302"/>
      <c r="AS30" s="288">
        <f t="shared" si="1"/>
        <v>100.00000000000004</v>
      </c>
      <c r="AT30" s="288"/>
      <c r="AU30" s="292"/>
      <c r="AV30" s="292"/>
      <c r="AW30" s="292"/>
      <c r="AX30" s="292"/>
      <c r="AY30" s="973"/>
      <c r="AZ30" s="973"/>
    </row>
    <row r="31" spans="1:52" ht="13.15" hidden="1" customHeight="1">
      <c r="A31" s="300">
        <v>77</v>
      </c>
      <c r="B31" s="300" t="s">
        <v>818</v>
      </c>
      <c r="C31" s="300"/>
      <c r="D31" s="300"/>
      <c r="E31" s="300"/>
      <c r="F31" s="300"/>
      <c r="G31" s="300"/>
      <c r="H31" s="301">
        <v>7.0616556952909528</v>
      </c>
      <c r="I31" s="301">
        <v>6.4422196260610329</v>
      </c>
      <c r="J31" s="301">
        <v>5.6225451787889664</v>
      </c>
      <c r="K31" s="301">
        <v>2.5626037110346722</v>
      </c>
      <c r="L31" s="301">
        <v>4.6117292523040989</v>
      </c>
      <c r="M31" s="301">
        <v>2.1316667481820111</v>
      </c>
      <c r="N31" s="301">
        <v>4.3386232682796155</v>
      </c>
      <c r="O31" s="301">
        <v>1.7759537054418018</v>
      </c>
      <c r="P31" s="301">
        <v>1.702211120925446</v>
      </c>
      <c r="Q31" s="301">
        <v>1.5156524823982553</v>
      </c>
      <c r="R31" s="455">
        <v>10.031067684594442</v>
      </c>
      <c r="S31" s="301">
        <v>1.8393913045426389</v>
      </c>
      <c r="T31" s="301">
        <v>1.5612984705573583</v>
      </c>
      <c r="U31" s="301">
        <v>1.4503786653021049</v>
      </c>
      <c r="V31" s="455">
        <v>3.6491149040573823</v>
      </c>
      <c r="W31" s="301">
        <v>4.6232851531216621</v>
      </c>
      <c r="X31" s="455">
        <v>10.308589591412998</v>
      </c>
      <c r="Y31" s="301">
        <v>1.2606421590833046</v>
      </c>
      <c r="Z31" s="455">
        <v>5.7927544095965899</v>
      </c>
      <c r="AA31" s="301">
        <v>2.2606302421642832</v>
      </c>
      <c r="AB31" s="301">
        <v>1.1609213150609146</v>
      </c>
      <c r="AC31" s="301">
        <v>1.9039347258266093</v>
      </c>
      <c r="AD31" s="301">
        <v>1.422253705636686</v>
      </c>
      <c r="AE31" s="301">
        <v>0.98332580405847836</v>
      </c>
      <c r="AF31" s="301">
        <v>0.9953774007446694</v>
      </c>
      <c r="AG31" s="301">
        <v>2.0134519008078366</v>
      </c>
      <c r="AH31" s="301">
        <v>0.95019951959547166</v>
      </c>
      <c r="AI31" s="301" t="s">
        <v>815</v>
      </c>
      <c r="AJ31" s="301">
        <v>0.9048212673154119</v>
      </c>
      <c r="AK31" s="301">
        <v>1.0579515438099483</v>
      </c>
      <c r="AL31" s="301">
        <v>0.73176590939488673</v>
      </c>
      <c r="AM31" s="301">
        <v>0.77782058830061351</v>
      </c>
      <c r="AN31" s="301">
        <v>0.96741849359315568</v>
      </c>
      <c r="AO31" s="301">
        <v>1.4598909532432096</v>
      </c>
      <c r="AP31" s="301">
        <v>3.1683262191594213</v>
      </c>
      <c r="AQ31" s="302">
        <v>0.96052728031301837</v>
      </c>
      <c r="AR31" s="302"/>
      <c r="AS31" s="288">
        <f t="shared" si="1"/>
        <v>99.999999999999972</v>
      </c>
      <c r="AT31" s="288"/>
      <c r="AU31" s="292"/>
      <c r="AV31" s="292"/>
      <c r="AW31" s="292"/>
      <c r="AX31" s="292"/>
      <c r="AY31" s="973"/>
      <c r="AZ31" s="973"/>
    </row>
    <row r="32" spans="1:52" ht="13.15" hidden="1" customHeight="1">
      <c r="A32" s="300">
        <v>78</v>
      </c>
      <c r="B32" s="300" t="s">
        <v>819</v>
      </c>
      <c r="C32" s="300"/>
      <c r="D32" s="300"/>
      <c r="E32" s="300"/>
      <c r="F32" s="300"/>
      <c r="G32" s="300"/>
      <c r="H32" s="301">
        <v>10.696810472919735</v>
      </c>
      <c r="I32" s="301">
        <v>9.9301411617377973</v>
      </c>
      <c r="J32" s="301">
        <v>8.375881335131691</v>
      </c>
      <c r="K32" s="301">
        <v>3.6367355979095026</v>
      </c>
      <c r="L32" s="301">
        <v>6.5226418720877613</v>
      </c>
      <c r="M32" s="301">
        <v>2.9106997537017416</v>
      </c>
      <c r="N32" s="301">
        <v>5.4832021187247886</v>
      </c>
      <c r="O32" s="301">
        <v>2.9044936465103324</v>
      </c>
      <c r="P32" s="301">
        <v>2.3203532362407668</v>
      </c>
      <c r="Q32" s="301">
        <v>2.3444846012501346</v>
      </c>
      <c r="R32" s="455">
        <v>6.4142479891984943</v>
      </c>
      <c r="S32" s="301">
        <v>2.0649549962616076</v>
      </c>
      <c r="T32" s="301">
        <v>1.811965984450135</v>
      </c>
      <c r="U32" s="301">
        <v>1.9155004006222847</v>
      </c>
      <c r="V32" s="455">
        <v>3.0192151157301281</v>
      </c>
      <c r="W32" s="301">
        <v>3.6796290318834224</v>
      </c>
      <c r="X32" s="455">
        <v>3.0446285772004615</v>
      </c>
      <c r="Y32" s="301">
        <v>1.4283431171787626</v>
      </c>
      <c r="Z32" s="455">
        <v>1.9372131333128646</v>
      </c>
      <c r="AA32" s="301">
        <v>1.9048917025614531</v>
      </c>
      <c r="AB32" s="301">
        <v>1.424719767780368</v>
      </c>
      <c r="AC32" s="301" t="s">
        <v>815</v>
      </c>
      <c r="AD32" s="301" t="s">
        <v>815</v>
      </c>
      <c r="AE32" s="301">
        <v>0.75873668074288314</v>
      </c>
      <c r="AF32" s="301">
        <v>1.7332261769862536</v>
      </c>
      <c r="AG32" s="301">
        <v>1.3569887799811662</v>
      </c>
      <c r="AH32" s="301" t="s">
        <v>815</v>
      </c>
      <c r="AI32" s="301" t="s">
        <v>815</v>
      </c>
      <c r="AJ32" s="301" t="s">
        <v>815</v>
      </c>
      <c r="AK32" s="301">
        <v>1.1466682097602512</v>
      </c>
      <c r="AL32" s="301" t="s">
        <v>815</v>
      </c>
      <c r="AM32" s="301" t="s">
        <v>815</v>
      </c>
      <c r="AN32" s="301" t="s">
        <v>815</v>
      </c>
      <c r="AO32" s="301">
        <v>0.52242281201134111</v>
      </c>
      <c r="AP32" s="301">
        <v>9.6706364868265187</v>
      </c>
      <c r="AQ32" s="302">
        <v>1.0405672412973328</v>
      </c>
      <c r="AR32" s="302"/>
      <c r="AS32" s="288">
        <f t="shared" si="1"/>
        <v>99.999999999999986</v>
      </c>
      <c r="AT32" s="288"/>
      <c r="AU32" s="292"/>
      <c r="AV32" s="292"/>
      <c r="AW32" s="292"/>
      <c r="AX32" s="292"/>
      <c r="AY32" s="973"/>
      <c r="AZ32" s="973"/>
    </row>
    <row r="33" spans="1:52" ht="13.15" hidden="1" customHeight="1">
      <c r="A33" s="300">
        <v>79</v>
      </c>
      <c r="B33" s="300" t="s">
        <v>820</v>
      </c>
      <c r="C33" s="300"/>
      <c r="D33" s="300"/>
      <c r="E33" s="300"/>
      <c r="F33" s="300"/>
      <c r="G33" s="300"/>
      <c r="H33" s="301">
        <v>11.49113193850053</v>
      </c>
      <c r="I33" s="301">
        <v>10.085920851234336</v>
      </c>
      <c r="J33" s="301">
        <v>8.8271211160673815</v>
      </c>
      <c r="K33" s="301">
        <v>3.8567578150591943</v>
      </c>
      <c r="L33" s="301">
        <v>6.6957978752273108</v>
      </c>
      <c r="M33" s="301">
        <v>3.1751902054597245</v>
      </c>
      <c r="N33" s="301">
        <v>5.4729314987293014</v>
      </c>
      <c r="O33" s="301">
        <v>2.8299090337745798</v>
      </c>
      <c r="P33" s="301">
        <v>2.2331326116597086</v>
      </c>
      <c r="Q33" s="301">
        <v>2.3893385832753977</v>
      </c>
      <c r="R33" s="455">
        <v>6.5070346947685129</v>
      </c>
      <c r="S33" s="301">
        <v>2.3050286748576245</v>
      </c>
      <c r="T33" s="301">
        <v>1.7628669698318589</v>
      </c>
      <c r="U33" s="301">
        <v>1.9906564090274568</v>
      </c>
      <c r="V33" s="455">
        <v>3.2140455807933286</v>
      </c>
      <c r="W33" s="301" t="s">
        <v>815</v>
      </c>
      <c r="X33" s="455">
        <v>3.3202415978707549</v>
      </c>
      <c r="Y33" s="301">
        <v>1.52404263125166</v>
      </c>
      <c r="Z33" s="455">
        <v>1.5861026345276501</v>
      </c>
      <c r="AA33" s="301">
        <v>2.162150082045379</v>
      </c>
      <c r="AB33" s="301">
        <v>1.7113204656652068</v>
      </c>
      <c r="AC33" s="301" t="s">
        <v>815</v>
      </c>
      <c r="AD33" s="301">
        <v>1.6081299191965734</v>
      </c>
      <c r="AE33" s="301">
        <v>0.85096403143405697</v>
      </c>
      <c r="AF33" s="301">
        <v>1.1095542244570415</v>
      </c>
      <c r="AG33" s="301">
        <v>1.2592630379515592</v>
      </c>
      <c r="AH33" s="301">
        <v>1.2905665563280042</v>
      </c>
      <c r="AI33" s="301" t="s">
        <v>815</v>
      </c>
      <c r="AJ33" s="301">
        <v>1.00228116775701</v>
      </c>
      <c r="AK33" s="301">
        <v>1.0725969877786015</v>
      </c>
      <c r="AL33" s="301">
        <v>0.42000108276648518</v>
      </c>
      <c r="AM33" s="301">
        <v>0.63551885003438913</v>
      </c>
      <c r="AN33" s="301">
        <v>1.2838806923551405</v>
      </c>
      <c r="AO33" s="301">
        <v>0.73629257479848842</v>
      </c>
      <c r="AP33" s="301">
        <v>4.8119240396322258</v>
      </c>
      <c r="AQ33" s="302">
        <v>0.77830556588354027</v>
      </c>
      <c r="AR33" s="302"/>
      <c r="AS33" s="288">
        <f t="shared" si="1"/>
        <v>100.00000000000001</v>
      </c>
      <c r="AT33" s="288"/>
      <c r="AU33" s="292"/>
      <c r="AV33" s="292"/>
      <c r="AW33" s="292"/>
      <c r="AX33" s="292"/>
      <c r="AY33" s="973"/>
      <c r="AZ33" s="973"/>
    </row>
    <row r="34" spans="1:52" ht="13.15" hidden="1" customHeight="1">
      <c r="A34" s="300">
        <v>80</v>
      </c>
      <c r="B34" s="300" t="s">
        <v>821</v>
      </c>
      <c r="C34" s="300"/>
      <c r="D34" s="300"/>
      <c r="E34" s="300"/>
      <c r="F34" s="300"/>
      <c r="G34" s="300"/>
      <c r="H34" s="301">
        <v>11.858885742607699</v>
      </c>
      <c r="I34" s="301">
        <v>9.1522151301755645</v>
      </c>
      <c r="J34" s="301">
        <v>9.1705437533697349</v>
      </c>
      <c r="K34" s="301">
        <v>3.9196217159144866</v>
      </c>
      <c r="L34" s="301">
        <v>6.9964197188204098</v>
      </c>
      <c r="M34" s="301">
        <v>3.0292369587851207</v>
      </c>
      <c r="N34" s="301">
        <v>5.6241324736669522</v>
      </c>
      <c r="O34" s="301">
        <v>2.653214333963366</v>
      </c>
      <c r="P34" s="301">
        <v>2.4688858992834088</v>
      </c>
      <c r="Q34" s="301">
        <v>2.313880290369974</v>
      </c>
      <c r="R34" s="455">
        <v>6.9272066982381126</v>
      </c>
      <c r="S34" s="301">
        <v>2.3413965400687378</v>
      </c>
      <c r="T34" s="301">
        <v>1.9253440520358414</v>
      </c>
      <c r="U34" s="301">
        <v>1.9233847087683711</v>
      </c>
      <c r="V34" s="455">
        <v>3.353340996287562</v>
      </c>
      <c r="W34" s="301">
        <v>2.1507319590527034</v>
      </c>
      <c r="X34" s="455">
        <v>3.2858539259114878</v>
      </c>
      <c r="Y34" s="301">
        <v>1.5204196200546243</v>
      </c>
      <c r="Z34" s="455">
        <v>1.7547568437722103</v>
      </c>
      <c r="AA34" s="301">
        <v>2.2256614022703971</v>
      </c>
      <c r="AB34" s="301">
        <v>1.63772132339341</v>
      </c>
      <c r="AC34" s="301">
        <v>1.4338601819655508</v>
      </c>
      <c r="AD34" s="301">
        <v>1.7003724735972749</v>
      </c>
      <c r="AE34" s="301">
        <v>0.86349921254197715</v>
      </c>
      <c r="AF34" s="301">
        <v>1.2141090699682371</v>
      </c>
      <c r="AG34" s="301">
        <v>1.2201029707994573</v>
      </c>
      <c r="AH34" s="301">
        <v>1.2249068273156425</v>
      </c>
      <c r="AI34" s="301" t="s">
        <v>815</v>
      </c>
      <c r="AJ34" s="301">
        <v>0.95871754856749947</v>
      </c>
      <c r="AK34" s="301">
        <v>1.3395915944916199</v>
      </c>
      <c r="AL34" s="301">
        <v>0.44163227976631059</v>
      </c>
      <c r="AM34" s="301">
        <v>0.77240295822230465</v>
      </c>
      <c r="AN34" s="301">
        <v>1.0298108736210445</v>
      </c>
      <c r="AO34" s="301">
        <v>0.58570780480641693</v>
      </c>
      <c r="AP34" s="301">
        <v>0.20873154842335667</v>
      </c>
      <c r="AQ34" s="302">
        <v>0.77370056910310858</v>
      </c>
      <c r="AR34" s="302"/>
      <c r="AS34" s="288">
        <f t="shared" si="1"/>
        <v>99.999999999999986</v>
      </c>
      <c r="AT34" s="288"/>
      <c r="AU34" s="292"/>
      <c r="AV34" s="292"/>
      <c r="AW34" s="292"/>
      <c r="AX34" s="292"/>
      <c r="AY34" s="973"/>
      <c r="AZ34" s="973"/>
    </row>
    <row r="35" spans="1:52" ht="13.15" hidden="1" customHeight="1">
      <c r="A35" s="300">
        <v>81</v>
      </c>
      <c r="B35" s="300" t="s">
        <v>822</v>
      </c>
      <c r="C35" s="300"/>
      <c r="D35" s="300"/>
      <c r="E35" s="300"/>
      <c r="F35" s="300"/>
      <c r="G35" s="300"/>
      <c r="H35" s="301">
        <v>11.480006285737224</v>
      </c>
      <c r="I35" s="301">
        <v>9.0344913258071387</v>
      </c>
      <c r="J35" s="301">
        <v>8.957215374989465</v>
      </c>
      <c r="K35" s="301">
        <v>3.7990355698272933</v>
      </c>
      <c r="L35" s="301">
        <v>7.0146291493165203</v>
      </c>
      <c r="M35" s="301">
        <v>3.0948688266721769</v>
      </c>
      <c r="N35" s="301">
        <v>5.8196091096745608</v>
      </c>
      <c r="O35" s="301">
        <v>2.6800816338563824</v>
      </c>
      <c r="P35" s="301">
        <v>2.4607349475054265</v>
      </c>
      <c r="Q35" s="301">
        <v>2.3675434838684928</v>
      </c>
      <c r="R35" s="455">
        <v>7.2896422200148452</v>
      </c>
      <c r="S35" s="301">
        <v>2.1930142704560192</v>
      </c>
      <c r="T35" s="301">
        <v>1.9262795364007657</v>
      </c>
      <c r="U35" s="301">
        <v>1.9352462313028911</v>
      </c>
      <c r="V35" s="455">
        <v>3.5235654825884715</v>
      </c>
      <c r="W35" s="301">
        <v>1.887417372075205</v>
      </c>
      <c r="X35" s="455">
        <v>3.3282027906197782</v>
      </c>
      <c r="Y35" s="301">
        <v>1.6058646566044472</v>
      </c>
      <c r="Z35" s="455">
        <v>1.6699703476097059</v>
      </c>
      <c r="AA35" s="301">
        <v>2.3014088619479867</v>
      </c>
      <c r="AB35" s="301">
        <v>1.5569728634816238</v>
      </c>
      <c r="AC35" s="301">
        <v>1.2814564070298173</v>
      </c>
      <c r="AD35" s="301">
        <v>1.644965446192316</v>
      </c>
      <c r="AE35" s="301">
        <v>0.85097210912590504</v>
      </c>
      <c r="AF35" s="301">
        <v>1.1967094012796189</v>
      </c>
      <c r="AG35" s="301">
        <v>1.3130183112832887</v>
      </c>
      <c r="AH35" s="301">
        <v>1.1026221182996967</v>
      </c>
      <c r="AI35" s="301">
        <v>0.70475372168338579</v>
      </c>
      <c r="AJ35" s="301">
        <v>1.0255928881132992</v>
      </c>
      <c r="AK35" s="301">
        <v>1.1628030840584691</v>
      </c>
      <c r="AL35" s="301">
        <v>0.41847957591132146</v>
      </c>
      <c r="AM35" s="301">
        <v>0.65798703308692708</v>
      </c>
      <c r="AN35" s="301">
        <v>1.1646942564420277</v>
      </c>
      <c r="AO35" s="301">
        <v>0.48622995751925335</v>
      </c>
      <c r="AP35" s="301">
        <v>0.26659097769371509</v>
      </c>
      <c r="AQ35" s="302">
        <v>0.79732437192452565</v>
      </c>
      <c r="AR35" s="302"/>
      <c r="AS35" s="288">
        <f t="shared" si="1"/>
        <v>100.00000000000001</v>
      </c>
      <c r="AT35" s="288"/>
      <c r="AU35" s="292"/>
      <c r="AV35" s="292"/>
      <c r="AW35" s="292"/>
      <c r="AX35" s="292"/>
      <c r="AY35" s="973"/>
      <c r="AZ35" s="973"/>
    </row>
    <row r="36" spans="1:52" ht="13.15" hidden="1" customHeight="1">
      <c r="A36" s="300">
        <v>14</v>
      </c>
      <c r="B36" s="300" t="s">
        <v>823</v>
      </c>
      <c r="C36" s="300"/>
      <c r="D36" s="300"/>
      <c r="E36" s="300"/>
      <c r="F36" s="300"/>
      <c r="G36" s="300"/>
      <c r="H36" s="301">
        <v>5.7962809365062337E-3</v>
      </c>
      <c r="I36" s="301">
        <v>5.176392273359468E-3</v>
      </c>
      <c r="J36" s="301">
        <v>1.0419620978326227E-2</v>
      </c>
      <c r="K36" s="301">
        <v>3.6496215135235249E-3</v>
      </c>
      <c r="L36" s="301">
        <v>0.22507228687395864</v>
      </c>
      <c r="M36" s="301">
        <v>6.5124010964904208E-2</v>
      </c>
      <c r="N36" s="301">
        <v>2.6696768755699423</v>
      </c>
      <c r="O36" s="301">
        <v>2.0416931862139553E-2</v>
      </c>
      <c r="P36" s="301">
        <v>0.12170543597535975</v>
      </c>
      <c r="Q36" s="301" t="s">
        <v>815</v>
      </c>
      <c r="R36" s="455">
        <v>16.643652507102459</v>
      </c>
      <c r="S36" s="301">
        <v>1.2833506573995013</v>
      </c>
      <c r="T36" s="301">
        <v>0.17841586002377968</v>
      </c>
      <c r="U36" s="301">
        <v>0.12647717254252067</v>
      </c>
      <c r="V36" s="455">
        <v>2.0796912922202182</v>
      </c>
      <c r="W36" s="301">
        <v>3.8496431836347773E-2</v>
      </c>
      <c r="X36" s="455">
        <v>30.161280725325973</v>
      </c>
      <c r="Y36" s="301" t="s">
        <v>815</v>
      </c>
      <c r="Z36" s="455">
        <v>44.409211130982193</v>
      </c>
      <c r="AA36" s="301">
        <v>4.5441529995885688E-2</v>
      </c>
      <c r="AB36" s="301" t="s">
        <v>815</v>
      </c>
      <c r="AC36" s="301" t="s">
        <v>815</v>
      </c>
      <c r="AD36" s="301">
        <v>1.2403259948597098</v>
      </c>
      <c r="AE36" s="301" t="s">
        <v>815</v>
      </c>
      <c r="AF36" s="301">
        <v>4.8769656052718491E-2</v>
      </c>
      <c r="AG36" s="301" t="s">
        <v>815</v>
      </c>
      <c r="AH36" s="301">
        <v>3.0481554485039598E-4</v>
      </c>
      <c r="AI36" s="301" t="s">
        <v>815</v>
      </c>
      <c r="AJ36" s="301" t="s">
        <v>815</v>
      </c>
      <c r="AK36" s="301" t="s">
        <v>815</v>
      </c>
      <c r="AL36" s="301">
        <v>2.7948342529293337E-3</v>
      </c>
      <c r="AM36" s="301" t="s">
        <v>815</v>
      </c>
      <c r="AN36" s="301">
        <v>0.39462204086565394</v>
      </c>
      <c r="AO36" s="301" t="s">
        <v>815</v>
      </c>
      <c r="AP36" s="301">
        <v>0.22012789404723643</v>
      </c>
      <c r="AQ36" s="302" t="s">
        <v>815</v>
      </c>
      <c r="AR36" s="302"/>
      <c r="AS36" s="288">
        <f t="shared" si="1"/>
        <v>99.999999999999986</v>
      </c>
      <c r="AT36" s="288"/>
      <c r="AU36" s="292"/>
      <c r="AV36" s="292"/>
      <c r="AW36" s="292"/>
      <c r="AX36" s="292"/>
      <c r="AY36" s="973"/>
      <c r="AZ36" s="973"/>
    </row>
    <row r="37" spans="1:52" ht="13.15" hidden="1" customHeight="1">
      <c r="A37" s="300"/>
      <c r="B37" s="300"/>
      <c r="C37" s="300"/>
      <c r="D37" s="300"/>
      <c r="E37" s="300"/>
      <c r="F37" s="300"/>
      <c r="G37" s="300"/>
      <c r="H37" s="301"/>
      <c r="I37" s="301"/>
      <c r="J37" s="301"/>
      <c r="K37" s="301"/>
      <c r="L37" s="301"/>
      <c r="M37" s="301"/>
      <c r="N37" s="301"/>
      <c r="O37" s="301"/>
      <c r="P37" s="301"/>
      <c r="Q37" s="301"/>
      <c r="R37" s="455"/>
      <c r="S37" s="301"/>
      <c r="T37" s="301"/>
      <c r="U37" s="301"/>
      <c r="V37" s="455"/>
      <c r="W37" s="301"/>
      <c r="X37" s="455"/>
      <c r="Y37" s="301"/>
      <c r="Z37" s="455"/>
      <c r="AA37" s="301"/>
      <c r="AB37" s="301"/>
      <c r="AC37" s="301"/>
      <c r="AD37" s="301"/>
      <c r="AE37" s="301"/>
      <c r="AF37" s="301"/>
      <c r="AG37" s="301"/>
      <c r="AH37" s="301"/>
      <c r="AI37" s="301"/>
      <c r="AJ37" s="301"/>
      <c r="AK37" s="301"/>
      <c r="AL37" s="301"/>
      <c r="AM37" s="301"/>
      <c r="AN37" s="301"/>
      <c r="AO37" s="301"/>
      <c r="AP37" s="301"/>
      <c r="AQ37" s="302"/>
      <c r="AR37" s="302"/>
      <c r="AS37" s="288"/>
      <c r="AT37" s="288"/>
      <c r="AU37" s="292"/>
      <c r="AV37" s="292"/>
      <c r="AW37" s="292"/>
      <c r="AX37" s="292"/>
      <c r="AY37" s="973"/>
      <c r="AZ37" s="973"/>
    </row>
    <row r="38" spans="1:52" s="705" customFormat="1">
      <c r="A38" s="697">
        <v>10</v>
      </c>
      <c r="B38" s="697" t="s">
        <v>824</v>
      </c>
      <c r="C38" s="697" t="s">
        <v>825</v>
      </c>
      <c r="D38" s="697">
        <v>265</v>
      </c>
      <c r="E38" s="698">
        <v>2.1139000000000001</v>
      </c>
      <c r="F38" s="698"/>
      <c r="G38" s="698"/>
      <c r="H38" s="699">
        <v>0.3359448590429947</v>
      </c>
      <c r="I38" s="699">
        <v>11.146826429023788</v>
      </c>
      <c r="J38" s="699">
        <v>5.8195719598311817E-2</v>
      </c>
      <c r="K38" s="699">
        <v>7.9479497795933041E-3</v>
      </c>
      <c r="L38" s="699">
        <v>0.13154425487666524</v>
      </c>
      <c r="M38" s="699">
        <v>8.7195769641962469E-3</v>
      </c>
      <c r="N38" s="699">
        <v>0.79424700665449843</v>
      </c>
      <c r="O38" s="699">
        <v>7.0409986503016248E-2</v>
      </c>
      <c r="P38" s="699">
        <v>0.10630193363218927</v>
      </c>
      <c r="Q38" s="699">
        <v>0.14381220038302647</v>
      </c>
      <c r="R38" s="699">
        <v>31.695488133714967</v>
      </c>
      <c r="S38" s="699">
        <v>2.6783606681167655</v>
      </c>
      <c r="T38" s="699">
        <v>0.23968966903931233</v>
      </c>
      <c r="U38" s="699">
        <v>5.2931889487940371E-2</v>
      </c>
      <c r="V38" s="699">
        <v>16.180033433420377</v>
      </c>
      <c r="W38" s="699">
        <v>0.41946441414126634</v>
      </c>
      <c r="X38" s="699">
        <v>20.751529458191435</v>
      </c>
      <c r="Y38" s="699">
        <v>0.19992880166301394</v>
      </c>
      <c r="Z38" s="699">
        <v>11.574006891124132</v>
      </c>
      <c r="AA38" s="699">
        <v>0.16456869800419613</v>
      </c>
      <c r="AB38" s="699">
        <v>4.2299313680574525E-2</v>
      </c>
      <c r="AC38" s="699">
        <v>0.1222302599353553</v>
      </c>
      <c r="AD38" s="699">
        <v>0.5787599287109132</v>
      </c>
      <c r="AE38" s="699">
        <v>8.8737377483835266E-3</v>
      </c>
      <c r="AF38" s="699">
        <v>0.64436053524495762</v>
      </c>
      <c r="AG38" s="699">
        <v>4.4154230623846505E-2</v>
      </c>
      <c r="AH38" s="699">
        <v>5.8184417213463881E-2</v>
      </c>
      <c r="AI38" s="699">
        <v>2.9388010644156151E-2</v>
      </c>
      <c r="AJ38" s="699">
        <v>0.16817899427636984</v>
      </c>
      <c r="AK38" s="699">
        <v>1.0426404922275516</v>
      </c>
      <c r="AL38" s="699">
        <v>8.5759641964025992E-3</v>
      </c>
      <c r="AM38" s="699" t="s">
        <v>815</v>
      </c>
      <c r="AN38" s="699">
        <v>2.1750981968721456E-2</v>
      </c>
      <c r="AO38" s="699">
        <v>2.2111593944299051E-2</v>
      </c>
      <c r="AP38" s="699">
        <v>0.42074831572750315</v>
      </c>
      <c r="AQ38" s="700">
        <v>2.7791250495818386E-2</v>
      </c>
      <c r="AR38" s="700">
        <f>AN38+AQ38</f>
        <v>4.9542232464539843E-2</v>
      </c>
      <c r="AS38" s="701">
        <f>SUM(H38:AR38)</f>
        <v>100.04954223246457</v>
      </c>
      <c r="AT38" s="701"/>
      <c r="AU38" s="700">
        <f>Z38</f>
        <v>11.574006891124132</v>
      </c>
      <c r="AV38" s="702">
        <f t="shared" ref="AV38:AV69" si="2">AK38*1000</f>
        <v>1042.6404922275517</v>
      </c>
      <c r="AW38" s="703">
        <f>AB38</f>
        <v>4.2299313680574525E-2</v>
      </c>
      <c r="AX38" s="704">
        <f>AN38+AQ38</f>
        <v>4.9542232464539843E-2</v>
      </c>
      <c r="AY38" s="973"/>
      <c r="AZ38" s="973"/>
    </row>
    <row r="39" spans="1:52" s="705" customFormat="1">
      <c r="A39" s="697">
        <v>11</v>
      </c>
      <c r="B39" s="697" t="s">
        <v>826</v>
      </c>
      <c r="C39" s="697" t="s">
        <v>825</v>
      </c>
      <c r="D39" s="697">
        <v>266</v>
      </c>
      <c r="E39" s="698">
        <v>2.0177999999999998</v>
      </c>
      <c r="G39" s="698"/>
      <c r="H39" s="699">
        <v>0.31526858644556516</v>
      </c>
      <c r="I39" s="699">
        <v>17.443267258080198</v>
      </c>
      <c r="J39" s="699">
        <v>8.0424131139367069E-2</v>
      </c>
      <c r="K39" s="699">
        <v>1.2101544396002816E-2</v>
      </c>
      <c r="L39" s="699">
        <v>0.18413043369806251</v>
      </c>
      <c r="M39" s="699">
        <v>1.1510226877003224E-2</v>
      </c>
      <c r="N39" s="699">
        <v>0.92385497765960845</v>
      </c>
      <c r="O39" s="699">
        <v>0.11458349983367178</v>
      </c>
      <c r="P39" s="699">
        <v>0.12155058631521748</v>
      </c>
      <c r="Q39" s="699">
        <v>0.29481299937717192</v>
      </c>
      <c r="R39" s="699">
        <v>32.960110279225482</v>
      </c>
      <c r="S39" s="699">
        <v>0.72165459838477153</v>
      </c>
      <c r="T39" s="699">
        <v>0.29713106691692914</v>
      </c>
      <c r="U39" s="699">
        <v>6.0014629113347449E-2</v>
      </c>
      <c r="V39" s="699">
        <v>23.793922602222111</v>
      </c>
      <c r="W39" s="699">
        <v>1.2000222939035079</v>
      </c>
      <c r="X39" s="699">
        <v>9.2797688444048134</v>
      </c>
      <c r="Y39" s="699">
        <v>0.29777813043049534</v>
      </c>
      <c r="Z39" s="699">
        <v>6.213252725446349</v>
      </c>
      <c r="AA39" s="699">
        <v>0.25259966866684525</v>
      </c>
      <c r="AB39" s="699">
        <v>2.4493772797275576E-2</v>
      </c>
      <c r="AC39" s="699" t="s">
        <v>815</v>
      </c>
      <c r="AD39" s="699">
        <v>2.3058996350547498</v>
      </c>
      <c r="AE39" s="699">
        <v>1.2421006245795325E-2</v>
      </c>
      <c r="AF39" s="699">
        <v>4.4957221772728491E-2</v>
      </c>
      <c r="AG39" s="699">
        <v>6.2890893203772655E-2</v>
      </c>
      <c r="AH39" s="699" t="s">
        <v>815</v>
      </c>
      <c r="AI39" s="699" t="s">
        <v>815</v>
      </c>
      <c r="AJ39" s="699" t="s">
        <v>815</v>
      </c>
      <c r="AK39" s="699">
        <v>2.0620399934856763</v>
      </c>
      <c r="AL39" s="699">
        <v>6.9955335902082407E-3</v>
      </c>
      <c r="AM39" s="699" t="s">
        <v>815</v>
      </c>
      <c r="AN39" s="699">
        <v>0.36349779508404556</v>
      </c>
      <c r="AO39" s="699">
        <v>3.8887938211051958E-2</v>
      </c>
      <c r="AP39" s="699">
        <v>0.47503363050096875</v>
      </c>
      <c r="AQ39" s="700">
        <v>2.5123497517173122E-2</v>
      </c>
      <c r="AR39" s="700">
        <f t="shared" ref="AR39:AR69" si="3">AN39+AQ39</f>
        <v>0.38862129260121869</v>
      </c>
      <c r="AS39" s="701">
        <f t="shared" ref="AS39:AS67" si="4">SUM(H39:AR39)</f>
        <v>100.38862129260119</v>
      </c>
      <c r="AT39" s="701"/>
      <c r="AU39" s="700">
        <f>Z39</f>
        <v>6.213252725446349</v>
      </c>
      <c r="AV39" s="702">
        <f t="shared" si="2"/>
        <v>2062.0399934856764</v>
      </c>
      <c r="AW39" s="703">
        <f>AB39</f>
        <v>2.4493772797275576E-2</v>
      </c>
      <c r="AX39" s="704">
        <f t="shared" ref="AX39:AX69" si="5">AN39+AQ39</f>
        <v>0.38862129260121869</v>
      </c>
      <c r="AY39" s="973"/>
      <c r="AZ39" s="973"/>
    </row>
    <row r="40" spans="1:52" s="705" customFormat="1">
      <c r="A40" s="697">
        <v>12</v>
      </c>
      <c r="B40" s="697" t="s">
        <v>827</v>
      </c>
      <c r="C40" s="697" t="s">
        <v>825</v>
      </c>
      <c r="D40" s="697">
        <v>267</v>
      </c>
      <c r="E40" s="698">
        <v>2.0423</v>
      </c>
      <c r="F40" s="698"/>
      <c r="G40" s="698"/>
      <c r="H40" s="699">
        <v>0.60808890897376244</v>
      </c>
      <c r="I40" s="699">
        <v>17.865656921293091</v>
      </c>
      <c r="J40" s="699">
        <v>8.2247462735676805E-2</v>
      </c>
      <c r="K40" s="699">
        <v>1.1872672503749042E-2</v>
      </c>
      <c r="L40" s="699">
        <v>0.24555120135051223</v>
      </c>
      <c r="M40" s="699">
        <v>1.2973972813672173E-2</v>
      </c>
      <c r="N40" s="699">
        <v>1.0479358089499193</v>
      </c>
      <c r="O40" s="699">
        <v>9.8357494608398308E-2</v>
      </c>
      <c r="P40" s="699">
        <v>0.13833314094850321</v>
      </c>
      <c r="Q40" s="699">
        <v>0.37276785321958833</v>
      </c>
      <c r="R40" s="699">
        <v>37.568185184206399</v>
      </c>
      <c r="S40" s="699">
        <v>0.5049314136368005</v>
      </c>
      <c r="T40" s="699">
        <v>0.33215952473239202</v>
      </c>
      <c r="U40" s="699" t="s">
        <v>815</v>
      </c>
      <c r="V40" s="699">
        <v>27.917174051293514</v>
      </c>
      <c r="W40" s="699">
        <v>1.5345721577672253</v>
      </c>
      <c r="X40" s="699">
        <v>5.0799037799136135</v>
      </c>
      <c r="Y40" s="699">
        <v>0.36094599037247149</v>
      </c>
      <c r="Z40" s="699">
        <v>3.0481911328055271</v>
      </c>
      <c r="AA40" s="699">
        <v>0.26298947650981042</v>
      </c>
      <c r="AB40" s="699">
        <v>1.6043830327802957E-2</v>
      </c>
      <c r="AC40" s="699" t="s">
        <v>815</v>
      </c>
      <c r="AD40" s="699">
        <v>0.27192329191413483</v>
      </c>
      <c r="AE40" s="699">
        <v>1.133192992123142E-2</v>
      </c>
      <c r="AF40" s="699" t="s">
        <v>815</v>
      </c>
      <c r="AG40" s="699">
        <v>5.648443103153971E-2</v>
      </c>
      <c r="AH40" s="699">
        <v>4.1060778189535338E-2</v>
      </c>
      <c r="AI40" s="699">
        <v>1.997384334612054E-2</v>
      </c>
      <c r="AJ40" s="699">
        <v>6.0119699973294354E-2</v>
      </c>
      <c r="AK40" s="699">
        <v>1.7543829553613981</v>
      </c>
      <c r="AL40" s="699">
        <v>8.8412217367889335E-3</v>
      </c>
      <c r="AM40" s="699" t="s">
        <v>815</v>
      </c>
      <c r="AN40" s="699">
        <v>0.45215570157921053</v>
      </c>
      <c r="AO40" s="699">
        <v>2.8549628471669489E-2</v>
      </c>
      <c r="AP40" s="699">
        <v>0.15917682834561242</v>
      </c>
      <c r="AQ40" s="700">
        <v>2.7117711167051761E-2</v>
      </c>
      <c r="AR40" s="700">
        <f t="shared" si="3"/>
        <v>0.47927341274626228</v>
      </c>
      <c r="AS40" s="701">
        <f t="shared" si="4"/>
        <v>100.47927341274627</v>
      </c>
      <c r="AT40" s="701"/>
      <c r="AU40" s="700">
        <f t="shared" ref="AU40:AU67" si="6">Z40</f>
        <v>3.0481911328055271</v>
      </c>
      <c r="AV40" s="702">
        <f t="shared" si="2"/>
        <v>1754.382955361398</v>
      </c>
      <c r="AW40" s="703">
        <f t="shared" ref="AW40:AW56" si="7">AB40</f>
        <v>1.6043830327802957E-2</v>
      </c>
      <c r="AX40" s="704">
        <f t="shared" si="5"/>
        <v>0.47927341274626228</v>
      </c>
      <c r="AY40" s="973"/>
      <c r="AZ40" s="973"/>
    </row>
    <row r="41" spans="1:52" s="705" customFormat="1">
      <c r="A41" s="697">
        <v>13</v>
      </c>
      <c r="B41" s="697" t="s">
        <v>828</v>
      </c>
      <c r="C41" s="697" t="s">
        <v>825</v>
      </c>
      <c r="D41" s="697">
        <v>268</v>
      </c>
      <c r="E41" s="698">
        <v>2.0185</v>
      </c>
      <c r="F41" s="698"/>
      <c r="G41" s="698"/>
      <c r="H41" s="699">
        <v>0.45469899832543642</v>
      </c>
      <c r="I41" s="699">
        <v>18.642993588532953</v>
      </c>
      <c r="J41" s="699">
        <v>0.13438223684778552</v>
      </c>
      <c r="K41" s="699">
        <v>1.5808390663072467E-2</v>
      </c>
      <c r="L41" s="699">
        <v>0.4767269466534535</v>
      </c>
      <c r="M41" s="699">
        <v>1.5740354023080737E-2</v>
      </c>
      <c r="N41" s="699">
        <v>1.1312018659684033</v>
      </c>
      <c r="O41" s="699">
        <v>0.18005539949493971</v>
      </c>
      <c r="P41" s="699">
        <v>0.13096782639131205</v>
      </c>
      <c r="Q41" s="699">
        <v>0.2823417326053731</v>
      </c>
      <c r="R41" s="699">
        <v>35.389494050063917</v>
      </c>
      <c r="S41" s="699">
        <v>0.78910863268451636</v>
      </c>
      <c r="T41" s="699">
        <v>0.31247781348076198</v>
      </c>
      <c r="U41" s="699">
        <v>9.0579280667553039E-2</v>
      </c>
      <c r="V41" s="699">
        <v>25.266955407939697</v>
      </c>
      <c r="W41" s="699">
        <v>0.68556655247745646</v>
      </c>
      <c r="X41" s="699">
        <v>6.2616571486554289</v>
      </c>
      <c r="Y41" s="699">
        <v>0.25363523567689789</v>
      </c>
      <c r="Z41" s="699">
        <v>5.1644903582852839</v>
      </c>
      <c r="AA41" s="699">
        <v>0.2310676018156553</v>
      </c>
      <c r="AB41" s="699">
        <v>1.5374447583826152E-2</v>
      </c>
      <c r="AC41" s="699" t="s">
        <v>815</v>
      </c>
      <c r="AD41" s="699">
        <v>0.36432949880797777</v>
      </c>
      <c r="AE41" s="699">
        <v>1.0026370773309265E-2</v>
      </c>
      <c r="AF41" s="699" t="s">
        <v>815</v>
      </c>
      <c r="AG41" s="699">
        <v>4.8685973617737278E-2</v>
      </c>
      <c r="AH41" s="699">
        <v>6.8467331137151088E-2</v>
      </c>
      <c r="AI41" s="699" t="s">
        <v>815</v>
      </c>
      <c r="AJ41" s="699">
        <v>0.13333386731971245</v>
      </c>
      <c r="AK41" s="699">
        <v>1.873804917055214</v>
      </c>
      <c r="AL41" s="699">
        <v>1.2105106876042509E-2</v>
      </c>
      <c r="AM41" s="699" t="s">
        <v>815</v>
      </c>
      <c r="AN41" s="699">
        <v>0.8920390197874728</v>
      </c>
      <c r="AO41" s="699">
        <v>2.2764818063334899E-2</v>
      </c>
      <c r="AP41" s="699">
        <v>0.62045723196892344</v>
      </c>
      <c r="AQ41" s="700">
        <v>2.8661995756315766E-2</v>
      </c>
      <c r="AR41" s="700">
        <f t="shared" si="3"/>
        <v>0.92070101554378858</v>
      </c>
      <c r="AS41" s="701">
        <f t="shared" si="4"/>
        <v>100.92070101554377</v>
      </c>
      <c r="AT41" s="701"/>
      <c r="AU41" s="700">
        <f t="shared" si="6"/>
        <v>5.1644903582852839</v>
      </c>
      <c r="AV41" s="702">
        <f t="shared" si="2"/>
        <v>1873.804917055214</v>
      </c>
      <c r="AW41" s="703">
        <f>AB41</f>
        <v>1.5374447583826152E-2</v>
      </c>
      <c r="AX41" s="704">
        <f t="shared" si="5"/>
        <v>0.92070101554378858</v>
      </c>
      <c r="AY41" s="973"/>
      <c r="AZ41" s="973"/>
    </row>
    <row r="42" spans="1:52" s="705" customFormat="1">
      <c r="A42" s="697">
        <v>15</v>
      </c>
      <c r="B42" s="697" t="s">
        <v>829</v>
      </c>
      <c r="C42" s="697" t="s">
        <v>825</v>
      </c>
      <c r="D42" s="697">
        <v>269</v>
      </c>
      <c r="E42" s="698">
        <v>2.0480999999999998</v>
      </c>
      <c r="F42" s="698"/>
      <c r="G42" s="698"/>
      <c r="H42" s="699">
        <v>0.34114478051464914</v>
      </c>
      <c r="I42" s="699">
        <v>18.512269766065749</v>
      </c>
      <c r="J42" s="699">
        <v>9.0136743777493519E-2</v>
      </c>
      <c r="K42" s="699">
        <v>1.3725141875665434E-2</v>
      </c>
      <c r="L42" s="699">
        <v>0.28268446573989514</v>
      </c>
      <c r="M42" s="699">
        <v>1.4531457702138279E-2</v>
      </c>
      <c r="N42" s="699">
        <v>1.0266397110552032</v>
      </c>
      <c r="O42" s="699">
        <v>0.18136973126904576</v>
      </c>
      <c r="P42" s="699">
        <v>0.12101146409117364</v>
      </c>
      <c r="Q42" s="699">
        <v>0.32996495347204469</v>
      </c>
      <c r="R42" s="699">
        <v>33.519365387273936</v>
      </c>
      <c r="S42" s="699">
        <v>0.91711445531533664</v>
      </c>
      <c r="T42" s="699">
        <v>0.27872795191140881</v>
      </c>
      <c r="U42" s="699" t="s">
        <v>815</v>
      </c>
      <c r="V42" s="699">
        <v>24.297687728539067</v>
      </c>
      <c r="W42" s="699">
        <v>1.2909082861224996</v>
      </c>
      <c r="X42" s="699">
        <v>6.8069290134743516</v>
      </c>
      <c r="Y42" s="699">
        <v>0.34603442607429385</v>
      </c>
      <c r="Z42" s="699">
        <v>6.8792797812743354</v>
      </c>
      <c r="AA42" s="699">
        <v>0.2431630266395515</v>
      </c>
      <c r="AB42" s="699">
        <v>2.4535657055523363E-2</v>
      </c>
      <c r="AC42" s="699" t="s">
        <v>815</v>
      </c>
      <c r="AD42" s="699">
        <v>0.70130865813513099</v>
      </c>
      <c r="AE42" s="699">
        <v>1.3115739207695718E-2</v>
      </c>
      <c r="AF42" s="699">
        <v>1.1610536451301499</v>
      </c>
      <c r="AG42" s="699">
        <v>5.1835998372109122E-2</v>
      </c>
      <c r="AH42" s="699">
        <v>5.1512960214645687E-2</v>
      </c>
      <c r="AI42" s="699" t="s">
        <v>815</v>
      </c>
      <c r="AJ42" s="699" t="s">
        <v>815</v>
      </c>
      <c r="AK42" s="699">
        <v>1.8498554602457864</v>
      </c>
      <c r="AL42" s="699">
        <v>8.6023231530650088E-3</v>
      </c>
      <c r="AM42" s="699" t="s">
        <v>815</v>
      </c>
      <c r="AN42" s="699">
        <v>6.4574126466084569E-2</v>
      </c>
      <c r="AO42" s="699">
        <v>2.734822574757835E-2</v>
      </c>
      <c r="AP42" s="699">
        <v>0.45626664171024184</v>
      </c>
      <c r="AQ42" s="700">
        <v>9.7302292374146296E-2</v>
      </c>
      <c r="AR42" s="700">
        <f t="shared" si="3"/>
        <v>0.16187641884023085</v>
      </c>
      <c r="AS42" s="701">
        <f t="shared" si="4"/>
        <v>100.16187641884024</v>
      </c>
      <c r="AT42" s="701"/>
      <c r="AU42" s="700">
        <f t="shared" si="6"/>
        <v>6.8792797812743354</v>
      </c>
      <c r="AV42" s="702">
        <f t="shared" si="2"/>
        <v>1849.8554602457864</v>
      </c>
      <c r="AW42" s="703">
        <f t="shared" si="7"/>
        <v>2.4535657055523363E-2</v>
      </c>
      <c r="AX42" s="704">
        <f t="shared" si="5"/>
        <v>0.16187641884023085</v>
      </c>
      <c r="AY42" s="973"/>
      <c r="AZ42" s="973"/>
    </row>
    <row r="43" spans="1:52" s="705" customFormat="1">
      <c r="A43" s="697">
        <v>16</v>
      </c>
      <c r="B43" s="697" t="s">
        <v>830</v>
      </c>
      <c r="C43" s="697" t="s">
        <v>825</v>
      </c>
      <c r="D43" s="697">
        <v>270</v>
      </c>
      <c r="E43" s="698">
        <v>2.1072000000000002</v>
      </c>
      <c r="F43" s="698"/>
      <c r="G43" s="698"/>
      <c r="H43" s="699">
        <v>0.34766249100224716</v>
      </c>
      <c r="I43" s="699">
        <v>15.857333966060256</v>
      </c>
      <c r="J43" s="699">
        <v>8.1452075857055425E-2</v>
      </c>
      <c r="K43" s="699">
        <v>1.1182584798645518E-2</v>
      </c>
      <c r="L43" s="699">
        <v>0.17723508269034846</v>
      </c>
      <c r="M43" s="699">
        <v>1.0752725489900496E-2</v>
      </c>
      <c r="N43" s="699">
        <v>0.87838604240549001</v>
      </c>
      <c r="O43" s="699">
        <v>4.2903409447912974E-2</v>
      </c>
      <c r="P43" s="699">
        <v>0.11920482485040058</v>
      </c>
      <c r="Q43" s="699">
        <v>0.28324511017668424</v>
      </c>
      <c r="R43" s="699">
        <v>31.461213268010333</v>
      </c>
      <c r="S43" s="699">
        <v>1.2478573890512961</v>
      </c>
      <c r="T43" s="699">
        <v>0.28770498383907656</v>
      </c>
      <c r="U43" s="699" t="s">
        <v>815</v>
      </c>
      <c r="V43" s="699">
        <v>21.802653053970907</v>
      </c>
      <c r="W43" s="699">
        <v>1.1167030637634403</v>
      </c>
      <c r="X43" s="699">
        <v>11.228195375286825</v>
      </c>
      <c r="Y43" s="699">
        <v>0.27392984093352224</v>
      </c>
      <c r="Z43" s="699">
        <v>9.4275650872215326</v>
      </c>
      <c r="AA43" s="699">
        <v>0.25162363899207985</v>
      </c>
      <c r="AB43" s="699">
        <v>2.4800775379829519E-2</v>
      </c>
      <c r="AC43" s="699">
        <v>0.14055533506765078</v>
      </c>
      <c r="AD43" s="699">
        <v>1.841127836342239</v>
      </c>
      <c r="AE43" s="699">
        <v>1.2908206128669974E-2</v>
      </c>
      <c r="AF43" s="699">
        <v>4.6713067534044132E-2</v>
      </c>
      <c r="AG43" s="699">
        <v>6.4000828318119207E-2</v>
      </c>
      <c r="AH43" s="699">
        <v>5.3039673050651666E-2</v>
      </c>
      <c r="AI43" s="699" t="s">
        <v>815</v>
      </c>
      <c r="AJ43" s="699">
        <v>0.1432382732291233</v>
      </c>
      <c r="AK43" s="699">
        <v>1.5473898352577899</v>
      </c>
      <c r="AL43" s="699">
        <v>9.6877061082022153E-3</v>
      </c>
      <c r="AM43" s="699" t="s">
        <v>815</v>
      </c>
      <c r="AN43" s="699">
        <v>0.43872260207625363</v>
      </c>
      <c r="AO43" s="699">
        <v>4.163408724118374E-2</v>
      </c>
      <c r="AP43" s="699">
        <v>0.67383362904134203</v>
      </c>
      <c r="AQ43" s="700">
        <v>5.5544131376944243E-2</v>
      </c>
      <c r="AR43" s="700">
        <f t="shared" si="3"/>
        <v>0.49426673345319788</v>
      </c>
      <c r="AS43" s="701">
        <f t="shared" si="4"/>
        <v>100.4942667334532</v>
      </c>
      <c r="AT43" s="701"/>
      <c r="AU43" s="700">
        <f t="shared" si="6"/>
        <v>9.4275650872215326</v>
      </c>
      <c r="AV43" s="702">
        <f t="shared" si="2"/>
        <v>1547.3898352577899</v>
      </c>
      <c r="AW43" s="703">
        <f t="shared" si="7"/>
        <v>2.4800775379829519E-2</v>
      </c>
      <c r="AX43" s="704">
        <f t="shared" si="5"/>
        <v>0.49426673345319788</v>
      </c>
      <c r="AY43" s="973"/>
      <c r="AZ43" s="973"/>
    </row>
    <row r="44" spans="1:52" s="679" customFormat="1">
      <c r="A44" s="671">
        <v>17</v>
      </c>
      <c r="B44" s="671" t="s">
        <v>831</v>
      </c>
      <c r="C44" s="671" t="s">
        <v>825</v>
      </c>
      <c r="D44" s="671">
        <v>271</v>
      </c>
      <c r="E44" s="672">
        <v>2.0343</v>
      </c>
      <c r="F44" s="672"/>
      <c r="G44" s="672"/>
      <c r="H44" s="673">
        <v>0.71908578339330054</v>
      </c>
      <c r="I44" s="673">
        <v>16.259042814882591</v>
      </c>
      <c r="J44" s="673">
        <v>8.8574898089588364E-2</v>
      </c>
      <c r="K44" s="673">
        <v>1.0851087288011188E-2</v>
      </c>
      <c r="L44" s="673">
        <v>0.22340628619876748</v>
      </c>
      <c r="M44" s="673">
        <v>1.1461773371745147E-2</v>
      </c>
      <c r="N44" s="673">
        <v>1.2329374657088388</v>
      </c>
      <c r="O44" s="673">
        <v>3.255430368818648E-2</v>
      </c>
      <c r="P44" s="673">
        <v>0.1478917548840529</v>
      </c>
      <c r="Q44" s="673">
        <v>0.25966058495644023</v>
      </c>
      <c r="R44" s="673">
        <v>31.960221457070045</v>
      </c>
      <c r="S44" s="673">
        <v>1.3175322966764595</v>
      </c>
      <c r="T44" s="673">
        <v>0.41112436667398938</v>
      </c>
      <c r="U44" s="673">
        <v>0.10682216033612597</v>
      </c>
      <c r="V44" s="673">
        <v>22.16117580772303</v>
      </c>
      <c r="W44" s="673">
        <v>0.7531057869747404</v>
      </c>
      <c r="X44" s="673">
        <v>13.484359036777885</v>
      </c>
      <c r="Y44" s="673">
        <v>0.33544798210496835</v>
      </c>
      <c r="Z44" s="673">
        <v>5.3600145374878876</v>
      </c>
      <c r="AA44" s="673">
        <v>0.22450696093315059</v>
      </c>
      <c r="AB44" s="673">
        <v>1.7779011502665379E-2</v>
      </c>
      <c r="AC44" s="673" t="s">
        <v>815</v>
      </c>
      <c r="AD44" s="673">
        <v>0.70875165547418784</v>
      </c>
      <c r="AE44" s="673">
        <v>1.3452501265605812E-2</v>
      </c>
      <c r="AF44" s="673">
        <v>0.72271387052658054</v>
      </c>
      <c r="AG44" s="673">
        <v>5.1698031401166883E-2</v>
      </c>
      <c r="AH44" s="673">
        <v>6.7224281591662327E-2</v>
      </c>
      <c r="AI44" s="673">
        <v>5.2215762858291256E-2</v>
      </c>
      <c r="AJ44" s="673">
        <v>0.20663046216677206</v>
      </c>
      <c r="AK44" s="673">
        <v>1.7275235018019621</v>
      </c>
      <c r="AL44" s="673">
        <v>1.2336228818377204E-2</v>
      </c>
      <c r="AM44" s="673" t="s">
        <v>815</v>
      </c>
      <c r="AN44" s="673">
        <v>0.62196100938519616</v>
      </c>
      <c r="AO44" s="673">
        <v>2.8340463268339895E-2</v>
      </c>
      <c r="AP44" s="673">
        <v>0.55316692003719914</v>
      </c>
      <c r="AQ44" s="674">
        <v>0.11642915468218686</v>
      </c>
      <c r="AR44" s="674">
        <f t="shared" si="3"/>
        <v>0.738390164067383</v>
      </c>
      <c r="AS44" s="675">
        <f t="shared" si="4"/>
        <v>100.73839016406741</v>
      </c>
      <c r="AT44" s="675"/>
      <c r="AU44" s="674">
        <f t="shared" si="6"/>
        <v>5.3600145374878876</v>
      </c>
      <c r="AV44" s="676">
        <f t="shared" si="2"/>
        <v>1727.5235018019621</v>
      </c>
      <c r="AW44" s="677">
        <f t="shared" si="7"/>
        <v>1.7779011502665379E-2</v>
      </c>
      <c r="AX44" s="678">
        <f t="shared" si="5"/>
        <v>0.738390164067383</v>
      </c>
      <c r="AY44" s="973"/>
      <c r="AZ44" s="973"/>
    </row>
    <row r="45" spans="1:52" s="679" customFormat="1">
      <c r="A45" s="671">
        <v>18</v>
      </c>
      <c r="B45" s="671" t="s">
        <v>832</v>
      </c>
      <c r="C45" s="671" t="s">
        <v>825</v>
      </c>
      <c r="D45" s="671">
        <v>272</v>
      </c>
      <c r="E45" s="672">
        <v>2.0678000000000001</v>
      </c>
      <c r="F45" s="672"/>
      <c r="G45" s="672"/>
      <c r="H45" s="673">
        <v>0.47943880767067576</v>
      </c>
      <c r="I45" s="673">
        <v>17.862147928298171</v>
      </c>
      <c r="J45" s="673">
        <v>8.6621300311876523E-2</v>
      </c>
      <c r="K45" s="673">
        <v>1.246659607189479E-2</v>
      </c>
      <c r="L45" s="673">
        <v>0.26625623511472907</v>
      </c>
      <c r="M45" s="673">
        <v>1.2407446893292427E-2</v>
      </c>
      <c r="N45" s="673">
        <v>1.0194196278124417</v>
      </c>
      <c r="O45" s="673">
        <v>6.6282464883303152E-2</v>
      </c>
      <c r="P45" s="673">
        <v>0.13555850768693437</v>
      </c>
      <c r="Q45" s="673">
        <v>0.33477681364232065</v>
      </c>
      <c r="R45" s="673">
        <v>35.236454967082068</v>
      </c>
      <c r="S45" s="673">
        <v>0.62519514653523822</v>
      </c>
      <c r="T45" s="673">
        <v>0.32275789524866955</v>
      </c>
      <c r="U45" s="673" t="s">
        <v>815</v>
      </c>
      <c r="V45" s="673">
        <v>26.362498827686327</v>
      </c>
      <c r="W45" s="673">
        <v>1.4356885216464073</v>
      </c>
      <c r="X45" s="673">
        <v>6.8380787186964413</v>
      </c>
      <c r="Y45" s="673">
        <v>0.29651187935315537</v>
      </c>
      <c r="Z45" s="673">
        <v>4.7606429489477193</v>
      </c>
      <c r="AA45" s="673">
        <v>0.26609397134120827</v>
      </c>
      <c r="AB45" s="673" t="s">
        <v>815</v>
      </c>
      <c r="AC45" s="673">
        <v>6.9357493526897185E-2</v>
      </c>
      <c r="AD45" s="673">
        <v>0.32839994013243484</v>
      </c>
      <c r="AE45" s="673">
        <v>1.1890960924238825E-2</v>
      </c>
      <c r="AF45" s="673" t="s">
        <v>815</v>
      </c>
      <c r="AG45" s="673">
        <v>5.7778078691381976E-2</v>
      </c>
      <c r="AH45" s="673">
        <v>4.2023028089249036E-2</v>
      </c>
      <c r="AI45" s="673" t="s">
        <v>815</v>
      </c>
      <c r="AJ45" s="673">
        <v>5.2269404249293064E-2</v>
      </c>
      <c r="AK45" s="673">
        <v>1.9432646031262328</v>
      </c>
      <c r="AL45" s="673">
        <v>6.8076105382669037E-3</v>
      </c>
      <c r="AM45" s="673" t="s">
        <v>815</v>
      </c>
      <c r="AN45" s="673">
        <v>0.33727556354168747</v>
      </c>
      <c r="AO45" s="673">
        <v>2.877028680105826E-2</v>
      </c>
      <c r="AP45" s="673">
        <v>0.68355281206780472</v>
      </c>
      <c r="AQ45" s="674">
        <v>1.9311613388590432E-2</v>
      </c>
      <c r="AR45" s="674">
        <f t="shared" si="3"/>
        <v>0.35658717693027792</v>
      </c>
      <c r="AS45" s="675">
        <f t="shared" si="4"/>
        <v>100.35658717693028</v>
      </c>
      <c r="AT45" s="675"/>
      <c r="AU45" s="674">
        <f t="shared" si="6"/>
        <v>4.7606429489477193</v>
      </c>
      <c r="AV45" s="676">
        <f t="shared" si="2"/>
        <v>1943.2646031262329</v>
      </c>
      <c r="AW45" s="680" t="str">
        <f t="shared" si="7"/>
        <v>n.a.</v>
      </c>
      <c r="AX45" s="678">
        <f t="shared" si="5"/>
        <v>0.35658717693027792</v>
      </c>
      <c r="AY45" s="973"/>
      <c r="AZ45" s="973"/>
    </row>
    <row r="46" spans="1:52" s="679" customFormat="1">
      <c r="A46" s="671">
        <v>19</v>
      </c>
      <c r="B46" s="671" t="s">
        <v>833</v>
      </c>
      <c r="C46" s="671" t="s">
        <v>825</v>
      </c>
      <c r="D46" s="671">
        <v>273</v>
      </c>
      <c r="E46" s="672">
        <v>2.0928</v>
      </c>
      <c r="F46" s="672"/>
      <c r="G46" s="672"/>
      <c r="H46" s="673">
        <v>0.1674982987307804</v>
      </c>
      <c r="I46" s="673">
        <v>18.69274792074836</v>
      </c>
      <c r="J46" s="673">
        <v>8.2175038079808541E-2</v>
      </c>
      <c r="K46" s="673">
        <v>1.8659934323851254E-2</v>
      </c>
      <c r="L46" s="673">
        <v>0.26559103987594324</v>
      </c>
      <c r="M46" s="673">
        <v>9.4281623572706655E-2</v>
      </c>
      <c r="N46" s="673">
        <v>1.2514801943165599</v>
      </c>
      <c r="O46" s="673">
        <v>0.20437236463347966</v>
      </c>
      <c r="P46" s="673">
        <v>0.38131730509068024</v>
      </c>
      <c r="Q46" s="673">
        <v>0.25157206504059348</v>
      </c>
      <c r="R46" s="673">
        <v>34.316704454616392</v>
      </c>
      <c r="S46" s="673">
        <v>0.47667226196469037</v>
      </c>
      <c r="T46" s="673">
        <v>0.66857891642746492</v>
      </c>
      <c r="U46" s="673">
        <v>8.1573803321853183E-2</v>
      </c>
      <c r="V46" s="673">
        <v>28.5076168760855</v>
      </c>
      <c r="W46" s="673">
        <v>1.0099091809219216</v>
      </c>
      <c r="X46" s="673">
        <v>4.219598971183304</v>
      </c>
      <c r="Y46" s="673">
        <v>0.25229383381298665</v>
      </c>
      <c r="Z46" s="673">
        <v>3.5991526498214603</v>
      </c>
      <c r="AA46" s="673">
        <v>0.30423730217528461</v>
      </c>
      <c r="AB46" s="673">
        <v>1.0238902450015668E-2</v>
      </c>
      <c r="AC46" s="673" t="s">
        <v>815</v>
      </c>
      <c r="AD46" s="673">
        <v>0.29175737886807313</v>
      </c>
      <c r="AE46" s="673">
        <v>6.2624623141549263E-2</v>
      </c>
      <c r="AF46" s="673">
        <v>1.1650295320400572</v>
      </c>
      <c r="AG46" s="673">
        <v>0.16544439547255596</v>
      </c>
      <c r="AH46" s="673">
        <v>3.6384665382385106E-2</v>
      </c>
      <c r="AI46" s="673" t="s">
        <v>815</v>
      </c>
      <c r="AJ46" s="673">
        <v>6.2019648542124779E-2</v>
      </c>
      <c r="AK46" s="673">
        <v>1.8487725958095342</v>
      </c>
      <c r="AL46" s="673">
        <v>0.12782296798761664</v>
      </c>
      <c r="AM46" s="673" t="s">
        <v>815</v>
      </c>
      <c r="AN46" s="673">
        <v>0.65711263450528146</v>
      </c>
      <c r="AO46" s="673">
        <v>0.1550083281883167</v>
      </c>
      <c r="AP46" s="673">
        <v>0.57175029286885592</v>
      </c>
      <c r="AQ46" s="674" t="s">
        <v>815</v>
      </c>
      <c r="AR46" s="674"/>
      <c r="AS46" s="675">
        <f t="shared" si="4"/>
        <v>99.999999999999957</v>
      </c>
      <c r="AT46" s="675"/>
      <c r="AU46" s="674">
        <f t="shared" si="6"/>
        <v>3.5991526498214603</v>
      </c>
      <c r="AV46" s="676">
        <f t="shared" si="2"/>
        <v>1848.7725958095343</v>
      </c>
      <c r="AW46" s="677">
        <f t="shared" si="7"/>
        <v>1.0238902450015668E-2</v>
      </c>
      <c r="AX46" s="678">
        <v>0.66</v>
      </c>
      <c r="AY46" s="973"/>
      <c r="AZ46" s="973"/>
    </row>
    <row r="47" spans="1:52" s="696" customFormat="1">
      <c r="A47" s="688">
        <v>20</v>
      </c>
      <c r="B47" s="688" t="s">
        <v>834</v>
      </c>
      <c r="C47" s="688" t="s">
        <v>825</v>
      </c>
      <c r="D47" s="688">
        <v>274</v>
      </c>
      <c r="E47" s="689">
        <v>2.0914000000000001</v>
      </c>
      <c r="F47" s="689"/>
      <c r="G47" s="689"/>
      <c r="H47" s="690">
        <v>0.5320233566029603</v>
      </c>
      <c r="I47" s="690">
        <v>25.834306978569415</v>
      </c>
      <c r="J47" s="690">
        <v>0.12542001972685263</v>
      </c>
      <c r="K47" s="690">
        <v>1.2483251593434884E-2</v>
      </c>
      <c r="L47" s="690">
        <v>0.33474323070381867</v>
      </c>
      <c r="M47" s="690">
        <v>1.1438649740916121E-2</v>
      </c>
      <c r="N47" s="690">
        <v>1.0336676972184582</v>
      </c>
      <c r="O47" s="690">
        <v>6.822182812055376E-2</v>
      </c>
      <c r="P47" s="690">
        <v>0.10473235112637669</v>
      </c>
      <c r="Q47" s="690">
        <v>0.17119563891531675</v>
      </c>
      <c r="R47" s="690">
        <v>24.58064299345623</v>
      </c>
      <c r="S47" s="690">
        <v>0.66308106389896759</v>
      </c>
      <c r="T47" s="690">
        <v>0.31215312666171413</v>
      </c>
      <c r="U47" s="690">
        <v>9.1088094322758231E-2</v>
      </c>
      <c r="V47" s="690">
        <v>17.398651054205882</v>
      </c>
      <c r="W47" s="690">
        <v>0.48652109364877966</v>
      </c>
      <c r="X47" s="690">
        <v>12.481624507881181</v>
      </c>
      <c r="Y47" s="690">
        <v>0.13620901326494042</v>
      </c>
      <c r="Z47" s="690">
        <v>10.604482804045793</v>
      </c>
      <c r="AA47" s="690">
        <v>0.18613200371604743</v>
      </c>
      <c r="AB47" s="690">
        <v>3.4787684362722143E-2</v>
      </c>
      <c r="AC47" s="690">
        <v>0.32743818289422899</v>
      </c>
      <c r="AD47" s="690">
        <v>1.2089288393502267</v>
      </c>
      <c r="AE47" s="690">
        <v>9.1115790596588819E-3</v>
      </c>
      <c r="AF47" s="690">
        <v>0.54823095287198687</v>
      </c>
      <c r="AG47" s="690">
        <v>4.9078575447601885E-2</v>
      </c>
      <c r="AH47" s="690">
        <v>4.6267150706192174E-2</v>
      </c>
      <c r="AI47" s="690" t="s">
        <v>815</v>
      </c>
      <c r="AJ47" s="690">
        <v>0.10765537976612863</v>
      </c>
      <c r="AK47" s="690">
        <v>1.181998323216507</v>
      </c>
      <c r="AL47" s="690" t="s">
        <v>815</v>
      </c>
      <c r="AM47" s="690" t="s">
        <v>815</v>
      </c>
      <c r="AN47" s="690">
        <v>0.68840518478774992</v>
      </c>
      <c r="AO47" s="690">
        <v>3.0655239340346079E-2</v>
      </c>
      <c r="AP47" s="690">
        <v>0.56480264364399269</v>
      </c>
      <c r="AQ47" s="691">
        <v>3.3821507132263472E-2</v>
      </c>
      <c r="AR47" s="691">
        <f t="shared" si="3"/>
        <v>0.72222669192001343</v>
      </c>
      <c r="AS47" s="692">
        <f t="shared" si="4"/>
        <v>100.72222669191999</v>
      </c>
      <c r="AT47" s="692"/>
      <c r="AU47" s="691">
        <f t="shared" si="6"/>
        <v>10.604482804045793</v>
      </c>
      <c r="AV47" s="693">
        <f t="shared" si="2"/>
        <v>1181.9983232165071</v>
      </c>
      <c r="AW47" s="694">
        <f t="shared" si="7"/>
        <v>3.4787684362722143E-2</v>
      </c>
      <c r="AX47" s="695">
        <f t="shared" si="5"/>
        <v>0.72222669192001343</v>
      </c>
    </row>
    <row r="48" spans="1:52" s="696" customFormat="1">
      <c r="A48" s="688">
        <v>22</v>
      </c>
      <c r="B48" s="688" t="s">
        <v>835</v>
      </c>
      <c r="C48" s="688" t="s">
        <v>825</v>
      </c>
      <c r="D48" s="688">
        <v>275</v>
      </c>
      <c r="E48" s="689">
        <v>2.0556999999999999</v>
      </c>
      <c r="F48" s="689"/>
      <c r="G48" s="689"/>
      <c r="H48" s="690">
        <v>0.9952055969995468</v>
      </c>
      <c r="I48" s="690">
        <v>29.609160949033637</v>
      </c>
      <c r="J48" s="690">
        <v>9.7794684492439429E-2</v>
      </c>
      <c r="K48" s="690">
        <v>1.0005591592212874E-2</v>
      </c>
      <c r="L48" s="690">
        <v>0.19548194491055568</v>
      </c>
      <c r="M48" s="690">
        <v>1.1650852667038518E-2</v>
      </c>
      <c r="N48" s="690">
        <v>1.0828904136524486</v>
      </c>
      <c r="O48" s="690">
        <v>4.8585222837373807E-2</v>
      </c>
      <c r="P48" s="690">
        <v>0.16583425432151563</v>
      </c>
      <c r="Q48" s="690" t="s">
        <v>815</v>
      </c>
      <c r="R48" s="690">
        <v>16.466004701318028</v>
      </c>
      <c r="S48" s="690">
        <v>1.2086683230270507</v>
      </c>
      <c r="T48" s="690">
        <v>0.50816094661444877</v>
      </c>
      <c r="U48" s="690">
        <v>0.14127881697611314</v>
      </c>
      <c r="V48" s="690">
        <v>11.649270744548858</v>
      </c>
      <c r="W48" s="690">
        <v>0.87220058610180695</v>
      </c>
      <c r="X48" s="690">
        <v>18.796889911206705</v>
      </c>
      <c r="Y48" s="690" t="s">
        <v>815</v>
      </c>
      <c r="Z48" s="690">
        <v>12.178394400245841</v>
      </c>
      <c r="AA48" s="690">
        <v>0.13080095565951685</v>
      </c>
      <c r="AB48" s="690">
        <v>3.4903438674406623E-2</v>
      </c>
      <c r="AC48" s="690" t="s">
        <v>815</v>
      </c>
      <c r="AD48" s="690">
        <v>4.4694784468802666</v>
      </c>
      <c r="AE48" s="690">
        <v>1.1465374803664887E-2</v>
      </c>
      <c r="AF48" s="690">
        <v>5.6474042272539111E-2</v>
      </c>
      <c r="AG48" s="690">
        <v>6.8490511048213562E-2</v>
      </c>
      <c r="AH48" s="690" t="s">
        <v>815</v>
      </c>
      <c r="AI48" s="690" t="s">
        <v>815</v>
      </c>
      <c r="AJ48" s="690">
        <v>9.3101713427740596E-2</v>
      </c>
      <c r="AK48" s="690">
        <v>0.36561080513255539</v>
      </c>
      <c r="AL48" s="690">
        <v>1.486444369274781E-2</v>
      </c>
      <c r="AM48" s="690" t="s">
        <v>815</v>
      </c>
      <c r="AN48" s="690">
        <v>4.3188034770227444E-2</v>
      </c>
      <c r="AO48" s="690">
        <v>3.6628719327299733E-2</v>
      </c>
      <c r="AP48" s="690">
        <v>0.59499888266020717</v>
      </c>
      <c r="AQ48" s="691">
        <v>4.2516691104995306E-2</v>
      </c>
      <c r="AR48" s="691">
        <f t="shared" si="3"/>
        <v>8.5704725875222751E-2</v>
      </c>
      <c r="AS48" s="692">
        <f t="shared" si="4"/>
        <v>100.08570472587519</v>
      </c>
      <c r="AT48" s="692"/>
      <c r="AU48" s="691">
        <f t="shared" si="6"/>
        <v>12.178394400245841</v>
      </c>
      <c r="AV48" s="693">
        <f t="shared" si="2"/>
        <v>365.61080513255541</v>
      </c>
      <c r="AW48" s="694">
        <f t="shared" si="7"/>
        <v>3.4903438674406623E-2</v>
      </c>
      <c r="AX48" s="695">
        <f>AN48+AQ48</f>
        <v>8.5704725875222751E-2</v>
      </c>
    </row>
    <row r="49" spans="1:50" s="696" customFormat="1">
      <c r="A49" s="688">
        <v>23</v>
      </c>
      <c r="B49" s="688" t="s">
        <v>836</v>
      </c>
      <c r="C49" s="688" t="s">
        <v>825</v>
      </c>
      <c r="D49" s="688">
        <v>276</v>
      </c>
      <c r="E49" s="689">
        <v>2.0356000000000001</v>
      </c>
      <c r="F49" s="689"/>
      <c r="G49" s="689"/>
      <c r="H49" s="690">
        <v>1.0763015190086607</v>
      </c>
      <c r="I49" s="690">
        <v>51.048778075298294</v>
      </c>
      <c r="J49" s="690">
        <v>0.12692935287800272</v>
      </c>
      <c r="K49" s="690">
        <v>1.5851966123136548E-2</v>
      </c>
      <c r="L49" s="690">
        <v>0.28702417025670351</v>
      </c>
      <c r="M49" s="690">
        <v>1.2873174867097239E-2</v>
      </c>
      <c r="N49" s="690">
        <v>0.82301351762020336</v>
      </c>
      <c r="O49" s="690">
        <v>0.14293385694047403</v>
      </c>
      <c r="P49" s="690">
        <v>0.12628851886949993</v>
      </c>
      <c r="Q49" s="690">
        <v>0.13688696304864992</v>
      </c>
      <c r="R49" s="690">
        <v>14.121678633123116</v>
      </c>
      <c r="S49" s="690">
        <v>0.77912256092842802</v>
      </c>
      <c r="T49" s="690">
        <v>0.32129928166140587</v>
      </c>
      <c r="U49" s="690">
        <v>0.14105183845334912</v>
      </c>
      <c r="V49" s="690">
        <v>11.492318473018427</v>
      </c>
      <c r="W49" s="690">
        <v>0.9042030085878463</v>
      </c>
      <c r="X49" s="690">
        <v>8.8206113168153308</v>
      </c>
      <c r="Y49" s="690" t="s">
        <v>815</v>
      </c>
      <c r="Z49" s="690">
        <v>5.8471379908825005</v>
      </c>
      <c r="AA49" s="690">
        <v>9.7902968309856411E-2</v>
      </c>
      <c r="AB49" s="690" t="s">
        <v>815</v>
      </c>
      <c r="AC49" s="690" t="s">
        <v>815</v>
      </c>
      <c r="AD49" s="690">
        <v>0.73233880945357932</v>
      </c>
      <c r="AE49" s="690" t="s">
        <v>815</v>
      </c>
      <c r="AF49" s="690" t="s">
        <v>815</v>
      </c>
      <c r="AG49" s="690">
        <v>1.9989885632698233E-2</v>
      </c>
      <c r="AH49" s="690">
        <v>9.020252965886473E-2</v>
      </c>
      <c r="AI49" s="690" t="s">
        <v>815</v>
      </c>
      <c r="AJ49" s="690">
        <v>0.12026417054547307</v>
      </c>
      <c r="AK49" s="690">
        <v>0.69610906612715939</v>
      </c>
      <c r="AL49" s="690" t="s">
        <v>815</v>
      </c>
      <c r="AM49" s="690" t="s">
        <v>815</v>
      </c>
      <c r="AN49" s="690">
        <v>0.97718697143842759</v>
      </c>
      <c r="AO49" s="690">
        <v>1.5851128611825818E-2</v>
      </c>
      <c r="AP49" s="690">
        <v>1.0258502518410353</v>
      </c>
      <c r="AQ49" s="691" t="s">
        <v>815</v>
      </c>
      <c r="AR49" s="691"/>
      <c r="AS49" s="692">
        <f t="shared" si="4"/>
        <v>100.00000000000004</v>
      </c>
      <c r="AT49" s="692"/>
      <c r="AU49" s="691">
        <f t="shared" si="6"/>
        <v>5.8471379908825005</v>
      </c>
      <c r="AV49" s="693">
        <f t="shared" si="2"/>
        <v>696.10906612715939</v>
      </c>
      <c r="AW49" s="694" t="str">
        <f t="shared" si="7"/>
        <v>n.a.</v>
      </c>
      <c r="AX49" s="695">
        <v>0.98</v>
      </c>
    </row>
    <row r="50" spans="1:50" s="696" customFormat="1">
      <c r="A50" s="688">
        <v>24</v>
      </c>
      <c r="B50" s="688" t="s">
        <v>837</v>
      </c>
      <c r="C50" s="688" t="s">
        <v>825</v>
      </c>
      <c r="D50" s="688">
        <v>277</v>
      </c>
      <c r="E50" s="689">
        <v>2.0099999999999998</v>
      </c>
      <c r="F50" s="689"/>
      <c r="G50" s="689"/>
      <c r="H50" s="690">
        <v>0.70968099897534154</v>
      </c>
      <c r="I50" s="690">
        <v>21.965066160566533</v>
      </c>
      <c r="J50" s="690">
        <v>0.17951023736639968</v>
      </c>
      <c r="K50" s="690">
        <v>1.2226726591431722E-2</v>
      </c>
      <c r="L50" s="690">
        <v>0.269716231240614</v>
      </c>
      <c r="M50" s="690">
        <v>1.8385519835778359E-2</v>
      </c>
      <c r="N50" s="690">
        <v>1.2889618444874538</v>
      </c>
      <c r="O50" s="690">
        <v>7.2299288210741774E-2</v>
      </c>
      <c r="P50" s="690">
        <v>0.2031792492620963</v>
      </c>
      <c r="Q50" s="690">
        <v>5.4195317574719772E-2</v>
      </c>
      <c r="R50" s="690">
        <v>14.37243688638244</v>
      </c>
      <c r="S50" s="690">
        <v>1.1843996377406645</v>
      </c>
      <c r="T50" s="690">
        <v>0.5152871335171203</v>
      </c>
      <c r="U50" s="690">
        <v>0.26038439219348641</v>
      </c>
      <c r="V50" s="690">
        <v>11.231394890430682</v>
      </c>
      <c r="W50" s="690">
        <v>1.1612508661462806</v>
      </c>
      <c r="X50" s="690">
        <v>28.062693508712098</v>
      </c>
      <c r="Y50" s="690">
        <v>4.4447252458481003E-2</v>
      </c>
      <c r="Z50" s="690">
        <v>10.377677079929192</v>
      </c>
      <c r="AA50" s="690">
        <v>0.16323715314299289</v>
      </c>
      <c r="AB50" s="690">
        <v>0.13759415587294377</v>
      </c>
      <c r="AC50" s="690">
        <v>0.43448347025784173</v>
      </c>
      <c r="AD50" s="690">
        <v>5.2971784954195043</v>
      </c>
      <c r="AE50" s="690">
        <v>7.9425786768618396E-3</v>
      </c>
      <c r="AF50" s="690" t="s">
        <v>815</v>
      </c>
      <c r="AG50" s="690">
        <v>6.5261338395309079E-2</v>
      </c>
      <c r="AH50" s="690">
        <v>4.2325593736612724E-2</v>
      </c>
      <c r="AI50" s="690" t="s">
        <v>815</v>
      </c>
      <c r="AJ50" s="690">
        <v>0.20279808111631709</v>
      </c>
      <c r="AK50" s="690">
        <v>0.28220269542143378</v>
      </c>
      <c r="AL50" s="690">
        <v>1.1836851479543418E-2</v>
      </c>
      <c r="AM50" s="690" t="s">
        <v>815</v>
      </c>
      <c r="AN50" s="690">
        <v>0.53746175784083827</v>
      </c>
      <c r="AO50" s="690">
        <v>2.6154879991078201E-2</v>
      </c>
      <c r="AP50" s="690">
        <v>0.71093327942665729</v>
      </c>
      <c r="AQ50" s="691">
        <v>9.7396447600524821E-2</v>
      </c>
      <c r="AR50" s="691">
        <f t="shared" si="3"/>
        <v>0.63485820544136307</v>
      </c>
      <c r="AS50" s="692">
        <f t="shared" si="4"/>
        <v>100.63485820544136</v>
      </c>
      <c r="AT50" s="692"/>
      <c r="AU50" s="691">
        <f t="shared" si="6"/>
        <v>10.377677079929192</v>
      </c>
      <c r="AV50" s="693">
        <f t="shared" si="2"/>
        <v>282.20269542143376</v>
      </c>
      <c r="AW50" s="694">
        <f t="shared" si="7"/>
        <v>0.13759415587294377</v>
      </c>
      <c r="AX50" s="695">
        <f>AN50+AQ50</f>
        <v>0.63485820544136307</v>
      </c>
    </row>
    <row r="51" spans="1:50" s="696" customFormat="1">
      <c r="A51" s="688">
        <v>25</v>
      </c>
      <c r="B51" s="688" t="s">
        <v>838</v>
      </c>
      <c r="C51" s="688" t="s">
        <v>825</v>
      </c>
      <c r="D51" s="688">
        <v>278</v>
      </c>
      <c r="E51" s="689">
        <v>2.0238</v>
      </c>
      <c r="F51" s="689"/>
      <c r="G51" s="689"/>
      <c r="H51" s="690">
        <v>0.93267233990327725</v>
      </c>
      <c r="I51" s="690">
        <v>31.526456480328402</v>
      </c>
      <c r="J51" s="690">
        <v>0.19450139190118315</v>
      </c>
      <c r="K51" s="690">
        <v>1.5558661259826075E-2</v>
      </c>
      <c r="L51" s="690">
        <v>0.26025783696943422</v>
      </c>
      <c r="M51" s="690">
        <v>1.8656234726892901E-2</v>
      </c>
      <c r="N51" s="690">
        <v>1.5728386179363951</v>
      </c>
      <c r="O51" s="690">
        <v>0.12592319217422185</v>
      </c>
      <c r="P51" s="690">
        <v>0.22572853910845195</v>
      </c>
      <c r="Q51" s="690">
        <v>4.4959874691692589E-2</v>
      </c>
      <c r="R51" s="690">
        <v>17.063596540993327</v>
      </c>
      <c r="S51" s="690">
        <v>1.1154166774801</v>
      </c>
      <c r="T51" s="690">
        <v>0.58106252331029218</v>
      </c>
      <c r="U51" s="690">
        <v>0.19171813171718244</v>
      </c>
      <c r="V51" s="690">
        <v>13.284935496689306</v>
      </c>
      <c r="W51" s="690">
        <v>1.4930547024677112</v>
      </c>
      <c r="X51" s="690">
        <v>17.79735963130728</v>
      </c>
      <c r="Y51" s="690">
        <v>4.763924597638302E-2</v>
      </c>
      <c r="Z51" s="690">
        <v>9.6054161164914795</v>
      </c>
      <c r="AA51" s="690">
        <v>8.3641142227517978E-2</v>
      </c>
      <c r="AB51" s="690">
        <v>3.4445210514442395E-2</v>
      </c>
      <c r="AC51" s="690">
        <v>0.17509698231787252</v>
      </c>
      <c r="AD51" s="690">
        <v>2.552804021941685</v>
      </c>
      <c r="AE51" s="690" t="s">
        <v>815</v>
      </c>
      <c r="AF51" s="690" t="s">
        <v>815</v>
      </c>
      <c r="AG51" s="690">
        <v>3.1609657359667559E-2</v>
      </c>
      <c r="AH51" s="690" t="s">
        <v>815</v>
      </c>
      <c r="AI51" s="690" t="s">
        <v>815</v>
      </c>
      <c r="AJ51" s="690">
        <v>0.17550778571729131</v>
      </c>
      <c r="AK51" s="690">
        <v>0.40280279394852092</v>
      </c>
      <c r="AL51" s="690" t="s">
        <v>815</v>
      </c>
      <c r="AM51" s="690" t="s">
        <v>815</v>
      </c>
      <c r="AN51" s="690">
        <v>0.30776671637729602</v>
      </c>
      <c r="AO51" s="690">
        <v>2.3562357070258097E-2</v>
      </c>
      <c r="AP51" s="690">
        <v>3.2291116058423802E-2</v>
      </c>
      <c r="AQ51" s="691">
        <v>8.2719981034220694E-2</v>
      </c>
      <c r="AR51" s="691">
        <f t="shared" si="3"/>
        <v>0.3904866974115167</v>
      </c>
      <c r="AS51" s="692">
        <f t="shared" si="4"/>
        <v>100.39048669741156</v>
      </c>
      <c r="AT51" s="692"/>
      <c r="AU51" s="691">
        <f t="shared" si="6"/>
        <v>9.6054161164914795</v>
      </c>
      <c r="AV51" s="693">
        <f t="shared" si="2"/>
        <v>402.8027939485209</v>
      </c>
      <c r="AW51" s="694">
        <f t="shared" si="7"/>
        <v>3.4445210514442395E-2</v>
      </c>
      <c r="AX51" s="695">
        <f t="shared" si="5"/>
        <v>0.3904866974115167</v>
      </c>
    </row>
    <row r="52" spans="1:50" s="670" customFormat="1">
      <c r="A52" s="662">
        <v>26</v>
      </c>
      <c r="B52" s="662" t="s">
        <v>839</v>
      </c>
      <c r="C52" s="662" t="s">
        <v>2</v>
      </c>
      <c r="D52" s="662">
        <v>279</v>
      </c>
      <c r="E52" s="663">
        <v>2.0007999999999999</v>
      </c>
      <c r="F52" s="663"/>
      <c r="G52" s="663"/>
      <c r="H52" s="664">
        <v>1.0765219505799422</v>
      </c>
      <c r="I52" s="664">
        <v>30.001735181254116</v>
      </c>
      <c r="J52" s="664">
        <v>0.39173107867866591</v>
      </c>
      <c r="K52" s="664">
        <v>3.110071609542852E-2</v>
      </c>
      <c r="L52" s="664">
        <v>0.38877777281496512</v>
      </c>
      <c r="M52" s="664">
        <v>1.5996339135600644E-2</v>
      </c>
      <c r="N52" s="664">
        <v>1.022677316880245</v>
      </c>
      <c r="O52" s="664">
        <v>0.15433111659545515</v>
      </c>
      <c r="P52" s="664">
        <v>0.1206199299294886</v>
      </c>
      <c r="Q52" s="664">
        <v>7.3869346475763015E-2</v>
      </c>
      <c r="R52" s="664">
        <v>18.179399815384222</v>
      </c>
      <c r="S52" s="664">
        <v>1.9472006281258645</v>
      </c>
      <c r="T52" s="664">
        <v>0.21940097364408981</v>
      </c>
      <c r="U52" s="664">
        <v>5.821205251572837E-2</v>
      </c>
      <c r="V52" s="664">
        <v>8.0418225355098212</v>
      </c>
      <c r="W52" s="664">
        <v>0.42098054969969873</v>
      </c>
      <c r="X52" s="664">
        <v>14.385978026047599</v>
      </c>
      <c r="Y52" s="664" t="s">
        <v>815</v>
      </c>
      <c r="Z52" s="664">
        <v>19.327085572724044</v>
      </c>
      <c r="AA52" s="664">
        <v>8.4600886772609379E-2</v>
      </c>
      <c r="AB52" s="664">
        <v>4.253130581260911E-2</v>
      </c>
      <c r="AC52" s="664">
        <v>8.7947102251307946E-2</v>
      </c>
      <c r="AD52" s="664">
        <v>1.2458824435958953</v>
      </c>
      <c r="AE52" s="664">
        <v>6.0361291828527957E-3</v>
      </c>
      <c r="AF52" s="664">
        <v>5.5150024331528248E-2</v>
      </c>
      <c r="AG52" s="664">
        <v>2.8061240924372035E-2</v>
      </c>
      <c r="AH52" s="664">
        <v>0.1221706074716403</v>
      </c>
      <c r="AI52" s="664" t="s">
        <v>815</v>
      </c>
      <c r="AJ52" s="664">
        <v>0.49868898056340155</v>
      </c>
      <c r="AK52" s="664">
        <v>0.62310326608888655</v>
      </c>
      <c r="AL52" s="664" t="s">
        <v>815</v>
      </c>
      <c r="AM52" s="664" t="s">
        <v>815</v>
      </c>
      <c r="AN52" s="664">
        <v>0.5140613199670605</v>
      </c>
      <c r="AO52" s="664">
        <v>1.575866336192374E-2</v>
      </c>
      <c r="AP52" s="664">
        <v>0.66579588277093182</v>
      </c>
      <c r="AQ52" s="665">
        <v>0.152771244814256</v>
      </c>
      <c r="AR52" s="665">
        <f t="shared" si="3"/>
        <v>0.66683256478131647</v>
      </c>
      <c r="AS52" s="666">
        <f t="shared" si="4"/>
        <v>100.66683256478133</v>
      </c>
      <c r="AT52" s="666"/>
      <c r="AU52" s="665">
        <f t="shared" si="6"/>
        <v>19.327085572724044</v>
      </c>
      <c r="AV52" s="667">
        <f t="shared" si="2"/>
        <v>623.10326608888658</v>
      </c>
      <c r="AW52" s="668">
        <f t="shared" si="7"/>
        <v>4.253130581260911E-2</v>
      </c>
      <c r="AX52" s="669">
        <f t="shared" si="5"/>
        <v>0.66683256478131647</v>
      </c>
    </row>
    <row r="53" spans="1:50" s="670" customFormat="1">
      <c r="A53" s="662">
        <v>27</v>
      </c>
      <c r="B53" s="662" t="s">
        <v>840</v>
      </c>
      <c r="C53" s="662" t="s">
        <v>2</v>
      </c>
      <c r="D53" s="662">
        <v>280</v>
      </c>
      <c r="E53" s="663">
        <v>2.0432000000000001</v>
      </c>
      <c r="F53" s="663"/>
      <c r="G53" s="663"/>
      <c r="H53" s="664">
        <v>0.93371541669683567</v>
      </c>
      <c r="I53" s="664">
        <v>30.866841196504048</v>
      </c>
      <c r="J53" s="664">
        <v>9.5414393290501914E-2</v>
      </c>
      <c r="K53" s="664">
        <v>1.4984024461649434E-2</v>
      </c>
      <c r="L53" s="664">
        <v>0.4070991246385024</v>
      </c>
      <c r="M53" s="664">
        <v>1.4525535579271812E-2</v>
      </c>
      <c r="N53" s="664">
        <v>0.83658764496668436</v>
      </c>
      <c r="O53" s="664">
        <v>0.11744116845934031</v>
      </c>
      <c r="P53" s="664">
        <v>0.10907097158316466</v>
      </c>
      <c r="Q53" s="664">
        <v>5.6866649968909222E-2</v>
      </c>
      <c r="R53" s="664">
        <v>16.880645476196243</v>
      </c>
      <c r="S53" s="664">
        <v>2.3004125527697252</v>
      </c>
      <c r="T53" s="664">
        <v>0.22059708620408811</v>
      </c>
      <c r="U53" s="664">
        <v>0.14462143663251298</v>
      </c>
      <c r="V53" s="664">
        <v>8.194791160746334</v>
      </c>
      <c r="W53" s="664">
        <v>0.43947734213863232</v>
      </c>
      <c r="X53" s="664">
        <v>16.393410690396962</v>
      </c>
      <c r="Y53" s="664" t="s">
        <v>815</v>
      </c>
      <c r="Z53" s="664">
        <v>18.237718914204347</v>
      </c>
      <c r="AA53" s="664">
        <v>9.0455719482261665E-2</v>
      </c>
      <c r="AB53" s="664">
        <v>5.8196910620922929E-2</v>
      </c>
      <c r="AC53" s="664" t="s">
        <v>815</v>
      </c>
      <c r="AD53" s="664">
        <v>1.4095008479901971</v>
      </c>
      <c r="AE53" s="664" t="s">
        <v>815</v>
      </c>
      <c r="AF53" s="664">
        <v>5.9055683857185258E-2</v>
      </c>
      <c r="AG53" s="664">
        <v>3.3561710833537893E-2</v>
      </c>
      <c r="AH53" s="664">
        <v>8.6906574534457173E-2</v>
      </c>
      <c r="AI53" s="664" t="s">
        <v>815</v>
      </c>
      <c r="AJ53" s="664">
        <v>0.49583873599863582</v>
      </c>
      <c r="AK53" s="664">
        <v>0.59298609824225201</v>
      </c>
      <c r="AL53" s="664" t="s">
        <v>815</v>
      </c>
      <c r="AM53" s="664" t="s">
        <v>815</v>
      </c>
      <c r="AN53" s="664">
        <v>0.43435785123080972</v>
      </c>
      <c r="AO53" s="664">
        <v>1.9051716196006173E-2</v>
      </c>
      <c r="AP53" s="664">
        <v>0.23157292286776965</v>
      </c>
      <c r="AQ53" s="665">
        <v>0.22429444270821364</v>
      </c>
      <c r="AR53" s="665">
        <f t="shared" si="3"/>
        <v>0.65865229393902336</v>
      </c>
      <c r="AS53" s="666">
        <f t="shared" si="4"/>
        <v>100.65865229393903</v>
      </c>
      <c r="AT53" s="666"/>
      <c r="AU53" s="665">
        <f t="shared" si="6"/>
        <v>18.237718914204347</v>
      </c>
      <c r="AV53" s="667">
        <f t="shared" si="2"/>
        <v>592.98609824225207</v>
      </c>
      <c r="AW53" s="668">
        <f t="shared" si="7"/>
        <v>5.8196910620922929E-2</v>
      </c>
      <c r="AX53" s="669">
        <f t="shared" si="5"/>
        <v>0.65865229393902336</v>
      </c>
    </row>
    <row r="54" spans="1:50" s="670" customFormat="1">
      <c r="A54" s="662">
        <v>28</v>
      </c>
      <c r="B54" s="662" t="s">
        <v>841</v>
      </c>
      <c r="C54" s="662" t="s">
        <v>2</v>
      </c>
      <c r="D54" s="662">
        <v>281</v>
      </c>
      <c r="E54" s="663">
        <v>2.0991</v>
      </c>
      <c r="F54" s="663"/>
      <c r="G54" s="663"/>
      <c r="H54" s="664">
        <v>0.96452897503061941</v>
      </c>
      <c r="I54" s="664">
        <v>28.261774388140218</v>
      </c>
      <c r="J54" s="664">
        <v>8.5196360565160625E-2</v>
      </c>
      <c r="K54" s="664">
        <v>1.1362727579820353E-2</v>
      </c>
      <c r="L54" s="664">
        <v>0.16571475684824077</v>
      </c>
      <c r="M54" s="664">
        <v>2.1267145805540601E-2</v>
      </c>
      <c r="N54" s="664">
        <v>2.3744982124470582</v>
      </c>
      <c r="O54" s="664">
        <v>6.7310488704112131E-2</v>
      </c>
      <c r="P54" s="664">
        <v>0.20478603654660221</v>
      </c>
      <c r="Q54" s="664">
        <v>6.9436078996540113E-2</v>
      </c>
      <c r="R54" s="664">
        <v>20.267900414022272</v>
      </c>
      <c r="S54" s="664">
        <v>1.9848525810598721</v>
      </c>
      <c r="T54" s="664">
        <v>0.42648987397772059</v>
      </c>
      <c r="U54" s="664">
        <v>0.10493663176618404</v>
      </c>
      <c r="V54" s="664">
        <v>10.803517196241295</v>
      </c>
      <c r="W54" s="664">
        <v>0.44379159346004665</v>
      </c>
      <c r="X54" s="664">
        <v>15.359918218194206</v>
      </c>
      <c r="Y54" s="664">
        <v>5.6285808093468892E-2</v>
      </c>
      <c r="Z54" s="664">
        <v>10.961437534533511</v>
      </c>
      <c r="AA54" s="664">
        <v>0.16375535462848628</v>
      </c>
      <c r="AB54" s="664">
        <v>4.7932363894900569E-2</v>
      </c>
      <c r="AC54" s="664">
        <v>0.45584170623225517</v>
      </c>
      <c r="AD54" s="664">
        <v>0.89891626068185859</v>
      </c>
      <c r="AE54" s="664">
        <v>1.1869219387668441E-2</v>
      </c>
      <c r="AF54" s="664">
        <v>0.11103916561146486</v>
      </c>
      <c r="AG54" s="664">
        <v>3.7766977206305521E-2</v>
      </c>
      <c r="AH54" s="664">
        <v>0.10416959654232777</v>
      </c>
      <c r="AI54" s="664">
        <v>9.6546263962804343E-2</v>
      </c>
      <c r="AJ54" s="664">
        <v>0.29733064915419682</v>
      </c>
      <c r="AK54" s="664">
        <v>0.40914357347425367</v>
      </c>
      <c r="AL54" s="664" t="s">
        <v>815</v>
      </c>
      <c r="AM54" s="664" t="s">
        <v>815</v>
      </c>
      <c r="AN54" s="664">
        <v>2.3082079674078724</v>
      </c>
      <c r="AO54" s="664">
        <v>2.5107707967240538E-2</v>
      </c>
      <c r="AP54" s="664">
        <v>0.67074110253926067</v>
      </c>
      <c r="AQ54" s="665">
        <v>1.7266270692965981</v>
      </c>
      <c r="AR54" s="665">
        <f t="shared" si="3"/>
        <v>4.0348350367044707</v>
      </c>
      <c r="AS54" s="666">
        <f t="shared" si="4"/>
        <v>104.03483503670444</v>
      </c>
      <c r="AT54" s="666"/>
      <c r="AU54" s="665">
        <f t="shared" si="6"/>
        <v>10.961437534533511</v>
      </c>
      <c r="AV54" s="667">
        <f t="shared" si="2"/>
        <v>409.14357347425369</v>
      </c>
      <c r="AW54" s="668">
        <f t="shared" si="7"/>
        <v>4.7932363894900569E-2</v>
      </c>
      <c r="AX54" s="669">
        <f t="shared" si="5"/>
        <v>4.0348350367044707</v>
      </c>
    </row>
    <row r="55" spans="1:50" s="670" customFormat="1">
      <c r="A55" s="662">
        <v>29</v>
      </c>
      <c r="B55" s="662" t="s">
        <v>842</v>
      </c>
      <c r="C55" s="662" t="s">
        <v>2</v>
      </c>
      <c r="D55" s="662">
        <v>282</v>
      </c>
      <c r="E55" s="663">
        <v>2.117</v>
      </c>
      <c r="F55" s="663"/>
      <c r="G55" s="663"/>
      <c r="H55" s="664">
        <v>0.79504436074569595</v>
      </c>
      <c r="I55" s="664">
        <v>28.799351499229306</v>
      </c>
      <c r="J55" s="664">
        <v>0.42713242587046185</v>
      </c>
      <c r="K55" s="664">
        <v>3.1281822134868138E-2</v>
      </c>
      <c r="L55" s="664">
        <v>0.39770367639853804</v>
      </c>
      <c r="M55" s="664">
        <v>1.5583362061424381E-2</v>
      </c>
      <c r="N55" s="664">
        <v>1.3726150635336138</v>
      </c>
      <c r="O55" s="664">
        <v>0.12970829555709598</v>
      </c>
      <c r="P55" s="664">
        <v>0.12074530426987855</v>
      </c>
      <c r="Q55" s="664">
        <v>3.818260900451443E-2</v>
      </c>
      <c r="R55" s="664">
        <v>19.892546415846581</v>
      </c>
      <c r="S55" s="664">
        <v>1.2666072245769162</v>
      </c>
      <c r="T55" s="664">
        <v>0.28052059975284477</v>
      </c>
      <c r="U55" s="664">
        <v>0.10342590491820582</v>
      </c>
      <c r="V55" s="664">
        <v>11.945985532426635</v>
      </c>
      <c r="W55" s="664">
        <v>0.49918316246100847</v>
      </c>
      <c r="X55" s="664">
        <v>15.732552103737753</v>
      </c>
      <c r="Y55" s="664" t="s">
        <v>815</v>
      </c>
      <c r="Z55" s="664">
        <v>14.236597609690312</v>
      </c>
      <c r="AA55" s="664">
        <v>0.11675232714978832</v>
      </c>
      <c r="AB55" s="664">
        <v>3.8183571356646788E-2</v>
      </c>
      <c r="AC55" s="664">
        <v>0.21031799892623682</v>
      </c>
      <c r="AD55" s="664">
        <v>1.2020355520128392</v>
      </c>
      <c r="AE55" s="664">
        <v>6.3225795991672983E-3</v>
      </c>
      <c r="AF55" s="664">
        <v>8.0446686682962398E-2</v>
      </c>
      <c r="AG55" s="664">
        <v>3.376580176795678E-2</v>
      </c>
      <c r="AH55" s="664">
        <v>6.2953690803396092E-2</v>
      </c>
      <c r="AI55" s="664" t="s">
        <v>815</v>
      </c>
      <c r="AJ55" s="664">
        <v>0.27097278000042357</v>
      </c>
      <c r="AK55" s="664">
        <v>0.42991106011762631</v>
      </c>
      <c r="AL55" s="664" t="s">
        <v>815</v>
      </c>
      <c r="AM55" s="664" t="s">
        <v>815</v>
      </c>
      <c r="AN55" s="664">
        <v>0.44483930741444566</v>
      </c>
      <c r="AO55" s="664">
        <v>1.8725284383965188E-2</v>
      </c>
      <c r="AP55" s="664">
        <v>0.65191489275197967</v>
      </c>
      <c r="AQ55" s="665">
        <v>0.34809149481691887</v>
      </c>
      <c r="AR55" s="665">
        <f t="shared" si="3"/>
        <v>0.79293080223136458</v>
      </c>
      <c r="AS55" s="666">
        <f t="shared" si="4"/>
        <v>100.79293080223135</v>
      </c>
      <c r="AT55" s="666"/>
      <c r="AU55" s="665">
        <f t="shared" si="6"/>
        <v>14.236597609690312</v>
      </c>
      <c r="AV55" s="667">
        <f t="shared" si="2"/>
        <v>429.91106011762633</v>
      </c>
      <c r="AW55" s="668">
        <f t="shared" si="7"/>
        <v>3.8183571356646788E-2</v>
      </c>
      <c r="AX55" s="669">
        <f t="shared" si="5"/>
        <v>0.79293080223136458</v>
      </c>
    </row>
    <row r="56" spans="1:50" s="670" customFormat="1">
      <c r="A56" s="662">
        <v>30</v>
      </c>
      <c r="B56" s="662" t="s">
        <v>843</v>
      </c>
      <c r="C56" s="662" t="s">
        <v>2</v>
      </c>
      <c r="D56" s="662">
        <v>283</v>
      </c>
      <c r="E56" s="663">
        <v>1.9946999999999999</v>
      </c>
      <c r="F56" s="663"/>
      <c r="G56" s="663"/>
      <c r="H56" s="664">
        <v>0.86636460158607986</v>
      </c>
      <c r="I56" s="664">
        <v>19.37851078969247</v>
      </c>
      <c r="J56" s="664">
        <v>8.0077694996405394E-2</v>
      </c>
      <c r="K56" s="664">
        <v>8.5635907280427002E-3</v>
      </c>
      <c r="L56" s="664">
        <v>0.3032460802874995</v>
      </c>
      <c r="M56" s="664">
        <v>1.6431224855430193E-2</v>
      </c>
      <c r="N56" s="664">
        <v>1.1572945946269941</v>
      </c>
      <c r="O56" s="664">
        <v>7.4127937791181292E-2</v>
      </c>
      <c r="P56" s="664">
        <v>0.10627439386793854</v>
      </c>
      <c r="Q56" s="664">
        <v>4.1948645387464789E-2</v>
      </c>
      <c r="R56" s="664">
        <v>22.452762591240813</v>
      </c>
      <c r="S56" s="664">
        <v>1.8256396737329725</v>
      </c>
      <c r="T56" s="664">
        <v>0.28436488153602896</v>
      </c>
      <c r="U56" s="664">
        <v>9.4261074079104307E-2</v>
      </c>
      <c r="V56" s="664">
        <v>10.766869190336246</v>
      </c>
      <c r="W56" s="664">
        <v>0.4793756906581389</v>
      </c>
      <c r="X56" s="664">
        <v>23.269960843530949</v>
      </c>
      <c r="Y56" s="664" t="s">
        <v>815</v>
      </c>
      <c r="Z56" s="664">
        <v>14.925096034778202</v>
      </c>
      <c r="AA56" s="664">
        <v>9.226197996762904E-2</v>
      </c>
      <c r="AB56" s="664" t="s">
        <v>815</v>
      </c>
      <c r="AC56" s="664">
        <v>0.16560036481964061</v>
      </c>
      <c r="AD56" s="664">
        <v>0.71142086844353769</v>
      </c>
      <c r="AE56" s="664">
        <v>6.117807468770037E-3</v>
      </c>
      <c r="AF56" s="664">
        <v>8.8604942299669934E-2</v>
      </c>
      <c r="AG56" s="664">
        <v>3.1268540876697143E-2</v>
      </c>
      <c r="AH56" s="664">
        <v>7.992960082924086E-2</v>
      </c>
      <c r="AI56" s="664" t="s">
        <v>815</v>
      </c>
      <c r="AJ56" s="664">
        <v>0.522551096207162</v>
      </c>
      <c r="AK56" s="664">
        <v>0.62861220663459594</v>
      </c>
      <c r="AL56" s="664" t="s">
        <v>815</v>
      </c>
      <c r="AM56" s="664">
        <v>2.4115467191493278E-2</v>
      </c>
      <c r="AN56" s="664">
        <v>0.45591483672802074</v>
      </c>
      <c r="AO56" s="664">
        <v>2.0712826789498349E-2</v>
      </c>
      <c r="AP56" s="664">
        <v>0.59995408803080097</v>
      </c>
      <c r="AQ56" s="665">
        <v>0.44176584000130104</v>
      </c>
      <c r="AR56" s="665">
        <f t="shared" si="3"/>
        <v>0.89768067672932172</v>
      </c>
      <c r="AS56" s="666">
        <f t="shared" si="4"/>
        <v>100.89768067672935</v>
      </c>
      <c r="AT56" s="666"/>
      <c r="AU56" s="665">
        <f t="shared" si="6"/>
        <v>14.925096034778202</v>
      </c>
      <c r="AV56" s="667">
        <f t="shared" si="2"/>
        <v>628.61220663459596</v>
      </c>
      <c r="AW56" s="668" t="str">
        <f t="shared" si="7"/>
        <v>n.a.</v>
      </c>
      <c r="AX56" s="669">
        <f t="shared" si="5"/>
        <v>0.89768067672932172</v>
      </c>
    </row>
    <row r="57" spans="1:50" s="507" customFormat="1">
      <c r="A57" s="681">
        <v>31</v>
      </c>
      <c r="B57" s="681" t="s">
        <v>844</v>
      </c>
      <c r="C57" s="681" t="s">
        <v>444</v>
      </c>
      <c r="D57" s="681">
        <v>284</v>
      </c>
      <c r="E57" s="682">
        <v>2.0577000000000001</v>
      </c>
      <c r="F57" s="682"/>
      <c r="G57" s="682"/>
      <c r="H57" s="683">
        <v>0.85012299525723511</v>
      </c>
      <c r="I57" s="683">
        <v>21.980009135533376</v>
      </c>
      <c r="J57" s="683">
        <v>7.6854885801808062E-2</v>
      </c>
      <c r="K57" s="683">
        <v>8.6614757280906052E-3</v>
      </c>
      <c r="L57" s="683">
        <v>0.11319169331366226</v>
      </c>
      <c r="M57" s="683">
        <v>9.9415875906874313E-3</v>
      </c>
      <c r="N57" s="683">
        <v>0.59047164164606392</v>
      </c>
      <c r="O57" s="683">
        <v>8.395614256124935E-2</v>
      </c>
      <c r="P57" s="683">
        <v>7.1684862255096821E-2</v>
      </c>
      <c r="Q57" s="683">
        <v>7.545151824270277E-2</v>
      </c>
      <c r="R57" s="683">
        <v>11.503861508750083</v>
      </c>
      <c r="S57" s="683">
        <v>0.44802516708856183</v>
      </c>
      <c r="T57" s="683">
        <v>0.16144117855976994</v>
      </c>
      <c r="U57" s="683" t="s">
        <v>815</v>
      </c>
      <c r="V57" s="683">
        <v>6.6785013298113931</v>
      </c>
      <c r="W57" s="683">
        <v>0.35747270378158508</v>
      </c>
      <c r="X57" s="683">
        <v>16.445943526386632</v>
      </c>
      <c r="Y57" s="683" t="s">
        <v>815</v>
      </c>
      <c r="Z57" s="683">
        <v>27.113350199688281</v>
      </c>
      <c r="AA57" s="683">
        <v>0.15311221813585832</v>
      </c>
      <c r="AB57" s="683">
        <v>7.4595343096597114E-2</v>
      </c>
      <c r="AC57" s="683">
        <v>0.39455746264967317</v>
      </c>
      <c r="AD57" s="683">
        <v>10.290115744683213</v>
      </c>
      <c r="AE57" s="683" t="s">
        <v>815</v>
      </c>
      <c r="AF57" s="683" t="s">
        <v>815</v>
      </c>
      <c r="AG57" s="683">
        <v>0.15625814711163008</v>
      </c>
      <c r="AH57" s="683">
        <v>7.5259275803033487E-2</v>
      </c>
      <c r="AI57" s="683" t="s">
        <v>815</v>
      </c>
      <c r="AJ57" s="683">
        <v>4.9226310502948352E-2</v>
      </c>
      <c r="AK57" s="683">
        <v>0.31219084182661344</v>
      </c>
      <c r="AL57" s="683">
        <v>1.2920054919805496E-2</v>
      </c>
      <c r="AM57" s="683" t="s">
        <v>815</v>
      </c>
      <c r="AN57" s="683">
        <v>0.47779153885528641</v>
      </c>
      <c r="AO57" s="683">
        <v>7.3087805111348686E-2</v>
      </c>
      <c r="AP57" s="683">
        <v>0.66611362515673922</v>
      </c>
      <c r="AQ57" s="684">
        <v>0.69583008015095682</v>
      </c>
      <c r="AR57" s="684">
        <f t="shared" si="3"/>
        <v>1.1736216190062432</v>
      </c>
      <c r="AS57" s="685">
        <f t="shared" si="4"/>
        <v>101.17362161900621</v>
      </c>
      <c r="AT57" s="685"/>
      <c r="AU57" s="684">
        <f t="shared" si="6"/>
        <v>27.113350199688281</v>
      </c>
      <c r="AV57" s="686">
        <f t="shared" si="2"/>
        <v>312.19084182661345</v>
      </c>
      <c r="AW57" s="687">
        <f>AB57</f>
        <v>7.4595343096597114E-2</v>
      </c>
      <c r="AX57" s="510">
        <f t="shared" si="5"/>
        <v>1.1736216190062432</v>
      </c>
    </row>
    <row r="58" spans="1:50" s="507" customFormat="1">
      <c r="A58" s="681">
        <v>33</v>
      </c>
      <c r="B58" s="681" t="s">
        <v>845</v>
      </c>
      <c r="C58" s="681" t="s">
        <v>444</v>
      </c>
      <c r="D58" s="681">
        <v>285</v>
      </c>
      <c r="E58" s="682">
        <v>2.0847000000000002</v>
      </c>
      <c r="F58" s="682"/>
      <c r="G58" s="682"/>
      <c r="H58" s="683">
        <v>1.4611781264074704</v>
      </c>
      <c r="I58" s="683">
        <v>24.471589217573261</v>
      </c>
      <c r="J58" s="683">
        <v>0.21435200017173131</v>
      </c>
      <c r="K58" s="683">
        <v>1.4296822019528531E-2</v>
      </c>
      <c r="L58" s="683">
        <v>0.34682719958062691</v>
      </c>
      <c r="M58" s="683">
        <v>1.2782530513960378E-2</v>
      </c>
      <c r="N58" s="683">
        <v>0.57432694341428348</v>
      </c>
      <c r="O58" s="683">
        <v>7.4770744611954806E-2</v>
      </c>
      <c r="P58" s="683">
        <v>7.59883159989828E-2</v>
      </c>
      <c r="Q58" s="683">
        <v>6.8394905179627347E-2</v>
      </c>
      <c r="R58" s="683">
        <v>17.435395267826713</v>
      </c>
      <c r="S58" s="683">
        <v>1.1834112869803106</v>
      </c>
      <c r="T58" s="683">
        <v>0.1859595456815934</v>
      </c>
      <c r="U58" s="683">
        <v>0.1049138883980668</v>
      </c>
      <c r="V58" s="683">
        <v>7.4950881892126047</v>
      </c>
      <c r="W58" s="683">
        <v>0.3716394242880075</v>
      </c>
      <c r="X58" s="683">
        <v>17.054225419829223</v>
      </c>
      <c r="Y58" s="683">
        <v>4.0061767687090369E-2</v>
      </c>
      <c r="Z58" s="683">
        <v>25.2826232411768</v>
      </c>
      <c r="AA58" s="683">
        <v>0.13059487256123428</v>
      </c>
      <c r="AB58" s="683">
        <v>4.7237811392187239E-2</v>
      </c>
      <c r="AC58" s="683" t="s">
        <v>815</v>
      </c>
      <c r="AD58" s="683">
        <v>2.1104545455469426</v>
      </c>
      <c r="AE58" s="683">
        <v>8.3976699081804631E-3</v>
      </c>
      <c r="AF58" s="683">
        <v>5.0935495060917366E-2</v>
      </c>
      <c r="AG58" s="683">
        <v>9.3563261484158874E-2</v>
      </c>
      <c r="AH58" s="683">
        <v>4.0843228459638919E-2</v>
      </c>
      <c r="AI58" s="683" t="s">
        <v>815</v>
      </c>
      <c r="AJ58" s="683">
        <v>7.991086303182704E-2</v>
      </c>
      <c r="AK58" s="683">
        <v>0.30293145565768309</v>
      </c>
      <c r="AL58" s="683" t="s">
        <v>815</v>
      </c>
      <c r="AM58" s="683" t="s">
        <v>815</v>
      </c>
      <c r="AN58" s="683" t="s">
        <v>815</v>
      </c>
      <c r="AO58" s="683">
        <v>3.4067358276863302E-2</v>
      </c>
      <c r="AP58" s="683">
        <v>0.58757424478711218</v>
      </c>
      <c r="AQ58" s="684">
        <v>4.5664357281438347E-2</v>
      </c>
      <c r="AR58" s="684"/>
      <c r="AS58" s="685">
        <f t="shared" si="4"/>
        <v>100.00000000000001</v>
      </c>
      <c r="AT58" s="685"/>
      <c r="AU58" s="684">
        <f t="shared" si="6"/>
        <v>25.2826232411768</v>
      </c>
      <c r="AV58" s="686">
        <f t="shared" si="2"/>
        <v>302.9314556576831</v>
      </c>
      <c r="AW58" s="687">
        <f t="shared" ref="AW58:AW69" si="8">AB58</f>
        <v>4.7237811392187239E-2</v>
      </c>
      <c r="AX58" s="510">
        <f>AQ58</f>
        <v>4.5664357281438347E-2</v>
      </c>
    </row>
    <row r="59" spans="1:50" s="705" customFormat="1">
      <c r="A59" s="697">
        <v>34</v>
      </c>
      <c r="B59" s="697" t="s">
        <v>846</v>
      </c>
      <c r="C59" s="697" t="s">
        <v>825</v>
      </c>
      <c r="D59" s="697">
        <v>286</v>
      </c>
      <c r="E59" s="698">
        <v>2.0476999999999999</v>
      </c>
      <c r="F59" s="698"/>
      <c r="G59" s="698"/>
      <c r="H59" s="699">
        <v>0.82914775299360677</v>
      </c>
      <c r="I59" s="699">
        <v>18.795382647653838</v>
      </c>
      <c r="J59" s="699">
        <v>7.9371646471352461E-2</v>
      </c>
      <c r="K59" s="699">
        <v>1.0352265569860493E-2</v>
      </c>
      <c r="L59" s="699">
        <v>0.68567433594258254</v>
      </c>
      <c r="M59" s="699">
        <v>1.0753841686988503E-2</v>
      </c>
      <c r="N59" s="699">
        <v>0.92174108548595146</v>
      </c>
      <c r="O59" s="699">
        <v>9.7223447274097485E-2</v>
      </c>
      <c r="P59" s="699">
        <v>8.9772424505340301E-2</v>
      </c>
      <c r="Q59" s="699">
        <v>4.6053939299827221E-2</v>
      </c>
      <c r="R59" s="699">
        <v>20.158609226376807</v>
      </c>
      <c r="S59" s="699">
        <v>2.6108806755299869</v>
      </c>
      <c r="T59" s="699">
        <v>0.18985074576211769</v>
      </c>
      <c r="U59" s="699">
        <v>7.5513105249172929E-2</v>
      </c>
      <c r="V59" s="699">
        <v>7.9594485582934444</v>
      </c>
      <c r="W59" s="699">
        <v>0.47042535420355208</v>
      </c>
      <c r="X59" s="699">
        <v>22.122635491185246</v>
      </c>
      <c r="Y59" s="699">
        <v>2.0844399412665828E-2</v>
      </c>
      <c r="Z59" s="699">
        <v>18.503990482849947</v>
      </c>
      <c r="AA59" s="699">
        <v>0.10681986113697793</v>
      </c>
      <c r="AB59" s="699">
        <v>4.9606599657362874E-2</v>
      </c>
      <c r="AC59" s="699">
        <v>0.41926309410621698</v>
      </c>
      <c r="AD59" s="699">
        <v>4.3657313037493637</v>
      </c>
      <c r="AE59" s="699">
        <v>5.3201162972370559E-3</v>
      </c>
      <c r="AF59" s="699">
        <v>0.10722694761852547</v>
      </c>
      <c r="AG59" s="699">
        <v>4.4803432260045663E-2</v>
      </c>
      <c r="AH59" s="699">
        <v>5.1262046531944189E-2</v>
      </c>
      <c r="AI59" s="699">
        <v>2.2941535608718262E-2</v>
      </c>
      <c r="AJ59" s="699">
        <v>0.27384969654254532</v>
      </c>
      <c r="AK59" s="699">
        <v>0.33904407121486274</v>
      </c>
      <c r="AL59" s="699" t="s">
        <v>815</v>
      </c>
      <c r="AM59" s="699" t="s">
        <v>815</v>
      </c>
      <c r="AN59" s="699">
        <v>0.21128545933919235</v>
      </c>
      <c r="AO59" s="699">
        <v>3.4631525023439032E-2</v>
      </c>
      <c r="AP59" s="699">
        <v>0.20269366460178193</v>
      </c>
      <c r="AQ59" s="700">
        <v>8.7849220565404437E-2</v>
      </c>
      <c r="AR59" s="700">
        <f t="shared" si="3"/>
        <v>0.2991346799045968</v>
      </c>
      <c r="AS59" s="701">
        <f t="shared" si="4"/>
        <v>100.29913467990458</v>
      </c>
      <c r="AT59" s="701"/>
      <c r="AU59" s="700">
        <f t="shared" si="6"/>
        <v>18.503990482849947</v>
      </c>
      <c r="AV59" s="702">
        <f t="shared" si="2"/>
        <v>339.04407121486275</v>
      </c>
      <c r="AW59" s="703">
        <f t="shared" si="8"/>
        <v>4.9606599657362874E-2</v>
      </c>
      <c r="AX59" s="704">
        <f t="shared" si="5"/>
        <v>0.2991346799045968</v>
      </c>
    </row>
    <row r="60" spans="1:50" hidden="1">
      <c r="A60" s="300">
        <v>35</v>
      </c>
      <c r="B60" s="300" t="s">
        <v>847</v>
      </c>
      <c r="C60" s="300"/>
      <c r="D60" s="300">
        <v>287</v>
      </c>
      <c r="E60" s="307">
        <v>2.0855000000000001</v>
      </c>
      <c r="F60" s="307"/>
      <c r="G60" s="307"/>
      <c r="H60" s="301">
        <v>0.66325117929536515</v>
      </c>
      <c r="I60" s="301">
        <v>21.489638528228515</v>
      </c>
      <c r="J60" s="301">
        <v>0.13859425771480854</v>
      </c>
      <c r="K60" s="301">
        <v>1.3533476127336706E-2</v>
      </c>
      <c r="L60" s="301">
        <v>0.55856768263660206</v>
      </c>
      <c r="M60" s="301">
        <v>1.2061993412301816E-2</v>
      </c>
      <c r="N60" s="301">
        <v>0.95110005266162767</v>
      </c>
      <c r="O60" s="301">
        <v>9.6150143269999627E-2</v>
      </c>
      <c r="P60" s="301">
        <v>0.11920683151507856</v>
      </c>
      <c r="Q60" s="301">
        <v>6.2781295449132093E-2</v>
      </c>
      <c r="R60" s="455">
        <v>20.270090195954854</v>
      </c>
      <c r="S60" s="301">
        <v>2.6526376017583511</v>
      </c>
      <c r="T60" s="301">
        <v>0.29531647032734448</v>
      </c>
      <c r="U60" s="301">
        <v>9.115785056439564E-2</v>
      </c>
      <c r="V60" s="455">
        <v>9.4689655902452046</v>
      </c>
      <c r="W60" s="301">
        <v>0.57134371091285829</v>
      </c>
      <c r="X60" s="455">
        <v>21.194936358944847</v>
      </c>
      <c r="Y60" s="301" t="s">
        <v>815</v>
      </c>
      <c r="Z60" s="455">
        <v>15.944516400096999</v>
      </c>
      <c r="AA60" s="301">
        <v>0.1278990040086799</v>
      </c>
      <c r="AB60" s="301">
        <v>4.4468217441404181E-2</v>
      </c>
      <c r="AC60" s="301">
        <v>0.28985287196053222</v>
      </c>
      <c r="AD60" s="301">
        <v>2.6335125038158509</v>
      </c>
      <c r="AE60" s="301">
        <v>8.9287013419587242E-3</v>
      </c>
      <c r="AF60" s="301">
        <v>0.17896373174558716</v>
      </c>
      <c r="AG60" s="301">
        <v>4.7922606647360887E-2</v>
      </c>
      <c r="AH60" s="301">
        <v>7.8157514418133067E-2</v>
      </c>
      <c r="AI60" s="301" t="s">
        <v>815</v>
      </c>
      <c r="AJ60" s="301">
        <v>0.24463201256472436</v>
      </c>
      <c r="AK60" s="301">
        <v>0.31875456735178992</v>
      </c>
      <c r="AL60" s="301">
        <v>8.9644396293317007E-3</v>
      </c>
      <c r="AM60" s="301" t="s">
        <v>815</v>
      </c>
      <c r="AN60" s="301">
        <v>0.59072878313792354</v>
      </c>
      <c r="AO60" s="301">
        <v>2.6689210511377171E-2</v>
      </c>
      <c r="AP60" s="301">
        <v>0.74308879252185656</v>
      </c>
      <c r="AQ60" s="302">
        <v>6.3587423787884539E-2</v>
      </c>
      <c r="AR60" s="302">
        <f t="shared" si="3"/>
        <v>0.65431620692580805</v>
      </c>
      <c r="AS60" s="288">
        <f t="shared" si="4"/>
        <v>100.65431620692583</v>
      </c>
      <c r="AT60" s="288"/>
      <c r="AU60" s="308">
        <f t="shared" si="6"/>
        <v>15.944516400096999</v>
      </c>
      <c r="AV60" s="309">
        <f t="shared" si="2"/>
        <v>318.75456735178994</v>
      </c>
      <c r="AW60" s="505">
        <f t="shared" si="8"/>
        <v>4.4468217441404181E-2</v>
      </c>
      <c r="AX60" s="310">
        <f t="shared" si="5"/>
        <v>0.65431620692580805</v>
      </c>
    </row>
    <row r="61" spans="1:50" s="507" customFormat="1">
      <c r="A61" s="681">
        <v>36</v>
      </c>
      <c r="B61" s="681" t="s">
        <v>848</v>
      </c>
      <c r="C61" s="681" t="s">
        <v>444</v>
      </c>
      <c r="D61" s="681">
        <v>288</v>
      </c>
      <c r="E61" s="682">
        <v>2.0015000000000001</v>
      </c>
      <c r="F61" s="682"/>
      <c r="G61" s="682"/>
      <c r="H61" s="683">
        <v>0.84831316617619457</v>
      </c>
      <c r="I61" s="683">
        <v>21.697318811752062</v>
      </c>
      <c r="J61" s="683">
        <v>0.1709823917759106</v>
      </c>
      <c r="K61" s="683">
        <v>1.2674120512118081E-2</v>
      </c>
      <c r="L61" s="683">
        <v>0.12421674537912282</v>
      </c>
      <c r="M61" s="683" t="s">
        <v>815</v>
      </c>
      <c r="N61" s="683">
        <v>0.31299808789878808</v>
      </c>
      <c r="O61" s="683">
        <v>9.9489500188998672E-2</v>
      </c>
      <c r="P61" s="683">
        <v>5.6917573975914806E-2</v>
      </c>
      <c r="Q61" s="683" t="s">
        <v>815</v>
      </c>
      <c r="R61" s="683">
        <v>9.4542725985367362</v>
      </c>
      <c r="S61" s="683">
        <v>0.48544512163813425</v>
      </c>
      <c r="T61" s="683">
        <v>0.14167799403933073</v>
      </c>
      <c r="U61" s="683">
        <v>9.9866867976711307E-2</v>
      </c>
      <c r="V61" s="683">
        <v>5.8240513884274678</v>
      </c>
      <c r="W61" s="683">
        <v>0.35978682887168839</v>
      </c>
      <c r="X61" s="683">
        <v>44.020932971168335</v>
      </c>
      <c r="Y61" s="683" t="s">
        <v>815</v>
      </c>
      <c r="Z61" s="683">
        <v>13.074335564596586</v>
      </c>
      <c r="AA61" s="683">
        <v>0.1346510802768518</v>
      </c>
      <c r="AB61" s="683" t="s">
        <v>815</v>
      </c>
      <c r="AC61" s="683" t="s">
        <v>815</v>
      </c>
      <c r="AD61" s="683">
        <v>0.60197738226824726</v>
      </c>
      <c r="AE61" s="683">
        <v>6.7220818056145546E-3</v>
      </c>
      <c r="AF61" s="683" t="s">
        <v>815</v>
      </c>
      <c r="AG61" s="683">
        <v>0.26585605070392199</v>
      </c>
      <c r="AH61" s="683">
        <v>2.0924236731016385E-2</v>
      </c>
      <c r="AI61" s="683" t="s">
        <v>815</v>
      </c>
      <c r="AJ61" s="683">
        <v>6.5696011492041836E-2</v>
      </c>
      <c r="AK61" s="683">
        <v>0.26402869420081082</v>
      </c>
      <c r="AL61" s="683" t="s">
        <v>815</v>
      </c>
      <c r="AM61" s="683" t="s">
        <v>815</v>
      </c>
      <c r="AN61" s="683">
        <v>1.2641849465376398</v>
      </c>
      <c r="AO61" s="683">
        <v>8.5296566003854032E-2</v>
      </c>
      <c r="AP61" s="683">
        <v>0.50738321706588063</v>
      </c>
      <c r="AQ61" s="684" t="s">
        <v>815</v>
      </c>
      <c r="AR61" s="684"/>
      <c r="AS61" s="685">
        <f t="shared" si="4"/>
        <v>99.999999999999972</v>
      </c>
      <c r="AT61" s="685"/>
      <c r="AU61" s="684">
        <f t="shared" si="6"/>
        <v>13.074335564596586</v>
      </c>
      <c r="AV61" s="686">
        <f t="shared" si="2"/>
        <v>264.02869420081083</v>
      </c>
      <c r="AW61" s="687" t="str">
        <f t="shared" si="8"/>
        <v>n.a.</v>
      </c>
      <c r="AX61" s="510">
        <f>AN61</f>
        <v>1.2641849465376398</v>
      </c>
    </row>
    <row r="62" spans="1:50" s="507" customFormat="1">
      <c r="A62" s="681">
        <v>37</v>
      </c>
      <c r="B62" s="681" t="s">
        <v>849</v>
      </c>
      <c r="C62" s="681" t="s">
        <v>444</v>
      </c>
      <c r="D62" s="681">
        <v>289</v>
      </c>
      <c r="E62" s="682">
        <v>2.0785999999999998</v>
      </c>
      <c r="F62" s="682"/>
      <c r="G62" s="682"/>
      <c r="H62" s="683">
        <v>1.3603741677280048</v>
      </c>
      <c r="I62" s="683">
        <v>29.311802449905791</v>
      </c>
      <c r="J62" s="683">
        <v>0.13977340475953556</v>
      </c>
      <c r="K62" s="683">
        <v>1.2360357045691535E-2</v>
      </c>
      <c r="L62" s="683">
        <v>0.41174156851384253</v>
      </c>
      <c r="M62" s="683">
        <v>9.2577615417914084E-3</v>
      </c>
      <c r="N62" s="683">
        <v>0.42975577878013704</v>
      </c>
      <c r="O62" s="683" t="s">
        <v>815</v>
      </c>
      <c r="P62" s="683">
        <v>6.9124785669950881E-2</v>
      </c>
      <c r="Q62" s="683">
        <v>7.110548940269E-2</v>
      </c>
      <c r="R62" s="683">
        <v>13.005810708627868</v>
      </c>
      <c r="S62" s="683">
        <v>0.32433716056658352</v>
      </c>
      <c r="T62" s="683">
        <v>0.17772900780336806</v>
      </c>
      <c r="U62" s="683">
        <v>0.18405344956255903</v>
      </c>
      <c r="V62" s="683">
        <v>6.4339660365148221</v>
      </c>
      <c r="W62" s="683">
        <v>0.42150132699675225</v>
      </c>
      <c r="X62" s="683">
        <v>13.290071072830086</v>
      </c>
      <c r="Y62" s="683" t="s">
        <v>815</v>
      </c>
      <c r="Z62" s="683">
        <v>30.596341253027585</v>
      </c>
      <c r="AA62" s="683">
        <v>0.13449761484829834</v>
      </c>
      <c r="AB62" s="683" t="s">
        <v>815</v>
      </c>
      <c r="AC62" s="683" t="s">
        <v>815</v>
      </c>
      <c r="AD62" s="683">
        <v>2.3677612338070881</v>
      </c>
      <c r="AE62" s="683">
        <v>9.7054194785168822E-3</v>
      </c>
      <c r="AF62" s="683" t="s">
        <v>815</v>
      </c>
      <c r="AG62" s="683">
        <v>0.11936735124547984</v>
      </c>
      <c r="AH62" s="683" t="s">
        <v>815</v>
      </c>
      <c r="AI62" s="683" t="s">
        <v>815</v>
      </c>
      <c r="AJ62" s="683">
        <v>4.5530609636270189E-2</v>
      </c>
      <c r="AK62" s="683">
        <v>0.29855709623564819</v>
      </c>
      <c r="AL62" s="683">
        <v>2.1120211678135145E-2</v>
      </c>
      <c r="AM62" s="683" t="s">
        <v>815</v>
      </c>
      <c r="AN62" s="683">
        <v>0.67437026677709466</v>
      </c>
      <c r="AO62" s="683">
        <v>5.1526820049945424E-2</v>
      </c>
      <c r="AP62" s="683">
        <v>1.0398490731001154E-2</v>
      </c>
      <c r="AQ62" s="684">
        <v>1.8059106235460448E-2</v>
      </c>
      <c r="AR62" s="684">
        <f t="shared" si="3"/>
        <v>0.69242937301255514</v>
      </c>
      <c r="AS62" s="685">
        <f t="shared" si="4"/>
        <v>100.69242937301259</v>
      </c>
      <c r="AT62" s="685"/>
      <c r="AU62" s="684">
        <f t="shared" si="6"/>
        <v>30.596341253027585</v>
      </c>
      <c r="AV62" s="686">
        <f t="shared" si="2"/>
        <v>298.5570962356482</v>
      </c>
      <c r="AW62" s="687" t="str">
        <f t="shared" si="8"/>
        <v>n.a.</v>
      </c>
      <c r="AX62" s="510">
        <f t="shared" si="5"/>
        <v>0.69242937301255514</v>
      </c>
    </row>
    <row r="63" spans="1:50" s="507" customFormat="1">
      <c r="A63" s="681">
        <v>38</v>
      </c>
      <c r="B63" s="681" t="s">
        <v>850</v>
      </c>
      <c r="C63" s="681" t="s">
        <v>444</v>
      </c>
      <c r="D63" s="681">
        <v>290</v>
      </c>
      <c r="E63" s="682">
        <v>2.0817999999999999</v>
      </c>
      <c r="F63" s="682"/>
      <c r="G63" s="682"/>
      <c r="H63" s="683">
        <v>0.46273326894510713</v>
      </c>
      <c r="I63" s="683">
        <v>19.135215487341831</v>
      </c>
      <c r="J63" s="683">
        <v>4.047826285116702E-2</v>
      </c>
      <c r="K63" s="683">
        <v>6.2823869799159679E-3</v>
      </c>
      <c r="L63" s="683">
        <v>8.9740799803859544E-2</v>
      </c>
      <c r="M63" s="683">
        <v>6.3459810543831903E-3</v>
      </c>
      <c r="N63" s="683">
        <v>0.26524538177755858</v>
      </c>
      <c r="O63" s="683">
        <v>2.8016341488436076E-2</v>
      </c>
      <c r="P63" s="683">
        <v>4.9565892789198172E-2</v>
      </c>
      <c r="Q63" s="683" t="s">
        <v>815</v>
      </c>
      <c r="R63" s="683">
        <v>10.848467532010233</v>
      </c>
      <c r="S63" s="683">
        <v>0.20200465331147158</v>
      </c>
      <c r="T63" s="683">
        <v>0.13491360603818001</v>
      </c>
      <c r="U63" s="683">
        <v>4.7964108402354315E-2</v>
      </c>
      <c r="V63" s="683">
        <v>6.5081241951252462</v>
      </c>
      <c r="W63" s="683">
        <v>0.35631541941962258</v>
      </c>
      <c r="X63" s="683">
        <v>17.668834393869041</v>
      </c>
      <c r="Y63" s="683">
        <v>4.4976188896671258E-2</v>
      </c>
      <c r="Z63" s="683">
        <v>39.70927382323147</v>
      </c>
      <c r="AA63" s="683">
        <v>0.13522299436700583</v>
      </c>
      <c r="AB63" s="683">
        <v>2.9330731832942384E-2</v>
      </c>
      <c r="AC63" s="683">
        <v>0.23882513148354148</v>
      </c>
      <c r="AD63" s="683">
        <v>2.9778195283764228</v>
      </c>
      <c r="AE63" s="683">
        <v>4.8411714002945527E-3</v>
      </c>
      <c r="AF63" s="683" t="s">
        <v>815</v>
      </c>
      <c r="AG63" s="683">
        <v>0.21892648842318047</v>
      </c>
      <c r="AH63" s="683" t="s">
        <v>815</v>
      </c>
      <c r="AI63" s="683" t="s">
        <v>815</v>
      </c>
      <c r="AJ63" s="683">
        <v>4.3298346267334184E-2</v>
      </c>
      <c r="AK63" s="683">
        <v>0.20916204901779137</v>
      </c>
      <c r="AL63" s="683">
        <v>1.1600556663017271E-2</v>
      </c>
      <c r="AM63" s="683" t="s">
        <v>815</v>
      </c>
      <c r="AN63" s="683">
        <v>0.11229805533215639</v>
      </c>
      <c r="AO63" s="683">
        <v>6.9852387214913034E-2</v>
      </c>
      <c r="AP63" s="683">
        <v>0.32110546015203506</v>
      </c>
      <c r="AQ63" s="684">
        <v>2.3219376133614491E-2</v>
      </c>
      <c r="AR63" s="684">
        <f t="shared" si="3"/>
        <v>0.13551743146577089</v>
      </c>
      <c r="AS63" s="685">
        <f t="shared" si="4"/>
        <v>100.13551743146577</v>
      </c>
      <c r="AT63" s="685"/>
      <c r="AU63" s="684">
        <f t="shared" si="6"/>
        <v>39.70927382323147</v>
      </c>
      <c r="AV63" s="686">
        <f t="shared" si="2"/>
        <v>209.16204901779136</v>
      </c>
      <c r="AW63" s="687">
        <f t="shared" si="8"/>
        <v>2.9330731832942384E-2</v>
      </c>
      <c r="AX63" s="510">
        <f t="shared" si="5"/>
        <v>0.13551743146577089</v>
      </c>
    </row>
    <row r="64" spans="1:50" s="696" customFormat="1">
      <c r="A64" s="688">
        <v>39</v>
      </c>
      <c r="B64" s="688" t="s">
        <v>851</v>
      </c>
      <c r="C64" s="688" t="s">
        <v>825</v>
      </c>
      <c r="D64" s="688">
        <v>291</v>
      </c>
      <c r="E64" s="689">
        <v>2.0036999999999998</v>
      </c>
      <c r="F64" s="689"/>
      <c r="G64" s="689"/>
      <c r="H64" s="690">
        <v>0.84374536469073802</v>
      </c>
      <c r="I64" s="690">
        <v>28.628781414089641</v>
      </c>
      <c r="J64" s="690">
        <v>0.13856121373334263</v>
      </c>
      <c r="K64" s="690">
        <v>1.4453062992334599E-2</v>
      </c>
      <c r="L64" s="690">
        <v>0.19981794513015905</v>
      </c>
      <c r="M64" s="690">
        <v>1.1353478610921118E-2</v>
      </c>
      <c r="N64" s="690">
        <v>0.8700157063383388</v>
      </c>
      <c r="O64" s="690">
        <v>0.130028784638791</v>
      </c>
      <c r="P64" s="690">
        <v>0.13162746741558762</v>
      </c>
      <c r="Q64" s="690">
        <v>5.364687862496853E-2</v>
      </c>
      <c r="R64" s="690">
        <v>16.401450659889644</v>
      </c>
      <c r="S64" s="690">
        <v>1.8004362053102896</v>
      </c>
      <c r="T64" s="690">
        <v>0.29520442404191011</v>
      </c>
      <c r="U64" s="690">
        <v>0.12281477553291625</v>
      </c>
      <c r="V64" s="690">
        <v>9.7918698689682131</v>
      </c>
      <c r="W64" s="690">
        <v>0.77987164228605332</v>
      </c>
      <c r="X64" s="690">
        <v>18.366648520390068</v>
      </c>
      <c r="Y64" s="690" t="s">
        <v>815</v>
      </c>
      <c r="Z64" s="690">
        <v>16.717178146707443</v>
      </c>
      <c r="AA64" s="690">
        <v>7.3665674294083855E-2</v>
      </c>
      <c r="AB64" s="690">
        <v>4.234244159271399E-2</v>
      </c>
      <c r="AC64" s="690">
        <v>9.6296990679695785E-2</v>
      </c>
      <c r="AD64" s="690">
        <v>2.2926982938080522</v>
      </c>
      <c r="AE64" s="690">
        <v>6.2514383393831151E-3</v>
      </c>
      <c r="AF64" s="690">
        <v>8.0753120632664072E-2</v>
      </c>
      <c r="AG64" s="690">
        <v>2.3425434557213007E-2</v>
      </c>
      <c r="AH64" s="690">
        <v>9.8026298726862998E-2</v>
      </c>
      <c r="AI64" s="690" t="s">
        <v>815</v>
      </c>
      <c r="AJ64" s="690">
        <v>0.35804878578553606</v>
      </c>
      <c r="AK64" s="690">
        <v>0.42642994980942972</v>
      </c>
      <c r="AL64" s="690" t="s">
        <v>815</v>
      </c>
      <c r="AM64" s="690" t="s">
        <v>815</v>
      </c>
      <c r="AN64" s="690">
        <v>0.88646890527881306</v>
      </c>
      <c r="AO64" s="690">
        <v>1.6248205492343841E-2</v>
      </c>
      <c r="AP64" s="690">
        <v>0.19194084335536984</v>
      </c>
      <c r="AQ64" s="691">
        <v>0.10989805825647518</v>
      </c>
      <c r="AR64" s="691">
        <f t="shared" si="3"/>
        <v>0.9963669635352882</v>
      </c>
      <c r="AS64" s="692">
        <f t="shared" si="4"/>
        <v>100.99636696353529</v>
      </c>
      <c r="AT64" s="692"/>
      <c r="AU64" s="691">
        <f t="shared" si="6"/>
        <v>16.717178146707443</v>
      </c>
      <c r="AV64" s="693">
        <f t="shared" si="2"/>
        <v>426.42994980942973</v>
      </c>
      <c r="AW64" s="694">
        <f t="shared" si="8"/>
        <v>4.234244159271399E-2</v>
      </c>
      <c r="AX64" s="695">
        <f t="shared" si="5"/>
        <v>0.9963669635352882</v>
      </c>
    </row>
    <row r="65" spans="1:50" s="679" customFormat="1">
      <c r="A65" s="671">
        <v>40</v>
      </c>
      <c r="B65" s="671" t="s">
        <v>852</v>
      </c>
      <c r="C65" s="671" t="s">
        <v>825</v>
      </c>
      <c r="D65" s="671">
        <v>292</v>
      </c>
      <c r="E65" s="672">
        <v>2.0337000000000001</v>
      </c>
      <c r="F65" s="672"/>
      <c r="G65" s="672"/>
      <c r="H65" s="673">
        <v>0.88807753468453232</v>
      </c>
      <c r="I65" s="673">
        <v>25.150394584519585</v>
      </c>
      <c r="J65" s="673">
        <v>0.1168190624546072</v>
      </c>
      <c r="K65" s="673">
        <v>1.2300018746629155E-2</v>
      </c>
      <c r="L65" s="673">
        <v>0.34051228321259969</v>
      </c>
      <c r="M65" s="673">
        <v>1.2334754975872542E-2</v>
      </c>
      <c r="N65" s="673">
        <v>0.72813998244653089</v>
      </c>
      <c r="O65" s="673">
        <v>0.10511587320540268</v>
      </c>
      <c r="P65" s="673">
        <v>0.10384635581079918</v>
      </c>
      <c r="Q65" s="673">
        <v>5.356529406290917E-2</v>
      </c>
      <c r="R65" s="673">
        <v>18.205716812407783</v>
      </c>
      <c r="S65" s="673">
        <v>1.9075704641639157</v>
      </c>
      <c r="T65" s="673">
        <v>0.2519604402533836</v>
      </c>
      <c r="U65" s="673">
        <v>8.3921377777334827E-2</v>
      </c>
      <c r="V65" s="673">
        <v>9.3165502452019808</v>
      </c>
      <c r="W65" s="673">
        <v>0.50794330225808138</v>
      </c>
      <c r="X65" s="673">
        <v>17.853980431450623</v>
      </c>
      <c r="Y65" s="673" t="s">
        <v>815</v>
      </c>
      <c r="Z65" s="673">
        <v>20.913487735796593</v>
      </c>
      <c r="AA65" s="673">
        <v>8.4744504117240313E-2</v>
      </c>
      <c r="AB65" s="673">
        <v>3.5664118258687781E-2</v>
      </c>
      <c r="AC65" s="673">
        <v>0.10559684026837414</v>
      </c>
      <c r="AD65" s="673">
        <v>1.0407929247212646</v>
      </c>
      <c r="AE65" s="673">
        <v>5.3997479027024587E-3</v>
      </c>
      <c r="AF65" s="673">
        <v>8.3501317428720551E-2</v>
      </c>
      <c r="AG65" s="673">
        <v>2.5012521209596145E-2</v>
      </c>
      <c r="AH65" s="673">
        <v>8.4087668903774768E-2</v>
      </c>
      <c r="AI65" s="673" t="s">
        <v>815</v>
      </c>
      <c r="AJ65" s="673">
        <v>0.3953771437477383</v>
      </c>
      <c r="AK65" s="673">
        <v>0.49308074520389727</v>
      </c>
      <c r="AL65" s="673" t="s">
        <v>815</v>
      </c>
      <c r="AM65" s="673" t="s">
        <v>815</v>
      </c>
      <c r="AN65" s="673">
        <v>0.73093949764023913</v>
      </c>
      <c r="AO65" s="673">
        <v>1.5107276898408826E-2</v>
      </c>
      <c r="AP65" s="673">
        <v>0.29523041157186664</v>
      </c>
      <c r="AQ65" s="674">
        <v>5.3228728698278722E-2</v>
      </c>
      <c r="AR65" s="674">
        <f t="shared" si="3"/>
        <v>0.7841682263385179</v>
      </c>
      <c r="AS65" s="675">
        <f t="shared" si="4"/>
        <v>100.78416822633847</v>
      </c>
      <c r="AT65" s="675"/>
      <c r="AU65" s="674">
        <f t="shared" si="6"/>
        <v>20.913487735796593</v>
      </c>
      <c r="AV65" s="676">
        <f t="shared" si="2"/>
        <v>493.08074520389727</v>
      </c>
      <c r="AW65" s="677">
        <f t="shared" si="8"/>
        <v>3.5664118258687781E-2</v>
      </c>
      <c r="AX65" s="678">
        <f t="shared" si="5"/>
        <v>0.7841682263385179</v>
      </c>
    </row>
    <row r="66" spans="1:50" s="679" customFormat="1">
      <c r="A66" s="671">
        <v>41</v>
      </c>
      <c r="B66" s="671" t="s">
        <v>853</v>
      </c>
      <c r="C66" s="671" t="s">
        <v>825</v>
      </c>
      <c r="D66" s="671">
        <v>293</v>
      </c>
      <c r="E66" s="672">
        <v>2.0247000000000002</v>
      </c>
      <c r="F66" s="672"/>
      <c r="G66" s="672"/>
      <c r="H66" s="673">
        <v>0.70876640978694705</v>
      </c>
      <c r="I66" s="673">
        <v>28.425187908022497</v>
      </c>
      <c r="J66" s="673">
        <v>0.1285255477622855</v>
      </c>
      <c r="K66" s="673">
        <v>1.4275591174718659E-2</v>
      </c>
      <c r="L66" s="673">
        <v>0.24268445228945587</v>
      </c>
      <c r="M66" s="673">
        <v>1.6403530108752413E-2</v>
      </c>
      <c r="N66" s="673">
        <v>0.80351558838179449</v>
      </c>
      <c r="O66" s="673">
        <v>0.13077306171442396</v>
      </c>
      <c r="P66" s="673">
        <v>0.12704843671112745</v>
      </c>
      <c r="Q66" s="673">
        <v>5.2641741668063978E-2</v>
      </c>
      <c r="R66" s="673">
        <v>17.4507296395632</v>
      </c>
      <c r="S66" s="673">
        <v>2.1935220967055522</v>
      </c>
      <c r="T66" s="673">
        <v>0.27505780959654819</v>
      </c>
      <c r="U66" s="673">
        <v>9.6228213294415429E-2</v>
      </c>
      <c r="V66" s="673">
        <v>9.5667313515956884</v>
      </c>
      <c r="W66" s="673">
        <v>0.72186213584762071</v>
      </c>
      <c r="X66" s="673">
        <v>18.495974960345301</v>
      </c>
      <c r="Y66" s="673" t="s">
        <v>815</v>
      </c>
      <c r="Z66" s="673">
        <v>15.545618597483116</v>
      </c>
      <c r="AA66" s="673">
        <v>8.1776607210389277E-2</v>
      </c>
      <c r="AB66" s="673">
        <v>5.2430636667490371E-2</v>
      </c>
      <c r="AC66" s="673">
        <v>0.27057005083548796</v>
      </c>
      <c r="AD66" s="673">
        <v>1.8722081910556512</v>
      </c>
      <c r="AE66" s="673">
        <v>5.2053142910217206E-3</v>
      </c>
      <c r="AF66" s="673">
        <v>9.4311275826289606E-2</v>
      </c>
      <c r="AG66" s="673">
        <v>2.5180950738372888E-2</v>
      </c>
      <c r="AH66" s="673">
        <v>0.11093861137188667</v>
      </c>
      <c r="AI66" s="673" t="s">
        <v>815</v>
      </c>
      <c r="AJ66" s="673">
        <v>0.45706201930794105</v>
      </c>
      <c r="AK66" s="673">
        <v>0.57428746707157408</v>
      </c>
      <c r="AL66" s="673">
        <v>5.012470099852338E-3</v>
      </c>
      <c r="AM66" s="673">
        <v>8.5034451477971444E-3</v>
      </c>
      <c r="AN66" s="673">
        <v>0.95392412280307637</v>
      </c>
      <c r="AO66" s="673">
        <v>1.5636973365003935E-2</v>
      </c>
      <c r="AP66" s="673">
        <v>0.28756415260085288</v>
      </c>
      <c r="AQ66" s="674">
        <v>0.18984063955581054</v>
      </c>
      <c r="AR66" s="674">
        <f t="shared" si="3"/>
        <v>1.1437647623588869</v>
      </c>
      <c r="AS66" s="675">
        <f t="shared" si="4"/>
        <v>101.14376476235888</v>
      </c>
      <c r="AT66" s="675"/>
      <c r="AU66" s="674">
        <f t="shared" si="6"/>
        <v>15.545618597483116</v>
      </c>
      <c r="AV66" s="676">
        <f t="shared" si="2"/>
        <v>574.28746707157404</v>
      </c>
      <c r="AW66" s="677">
        <f t="shared" si="8"/>
        <v>5.2430636667490371E-2</v>
      </c>
      <c r="AX66" s="678">
        <f t="shared" si="5"/>
        <v>1.1437647623588869</v>
      </c>
    </row>
    <row r="67" spans="1:50" s="679" customFormat="1">
      <c r="A67" s="671">
        <v>42</v>
      </c>
      <c r="B67" s="671" t="s">
        <v>854</v>
      </c>
      <c r="C67" s="671" t="s">
        <v>825</v>
      </c>
      <c r="D67" s="671">
        <v>294</v>
      </c>
      <c r="E67" s="672">
        <v>2.0162</v>
      </c>
      <c r="F67" s="672"/>
      <c r="G67" s="672"/>
      <c r="H67" s="673">
        <v>1.5606385281689572</v>
      </c>
      <c r="I67" s="673">
        <v>34.136627573766056</v>
      </c>
      <c r="J67" s="673">
        <v>0.12057412742599299</v>
      </c>
      <c r="K67" s="673">
        <v>1.4405342242338925E-2</v>
      </c>
      <c r="L67" s="673">
        <v>0.19168041172491099</v>
      </c>
      <c r="M67" s="673">
        <v>1.2228502660480122E-2</v>
      </c>
      <c r="N67" s="673">
        <v>0.88072684468684626</v>
      </c>
      <c r="O67" s="673">
        <v>0.13978422511358163</v>
      </c>
      <c r="P67" s="673">
        <v>0.14704228626793919</v>
      </c>
      <c r="Q67" s="673">
        <v>6.3294612201829803E-2</v>
      </c>
      <c r="R67" s="673">
        <v>17.295668423503017</v>
      </c>
      <c r="S67" s="673">
        <v>1.5330118837233855</v>
      </c>
      <c r="T67" s="673">
        <v>0.35421946925401887</v>
      </c>
      <c r="U67" s="673">
        <v>0.17083806092753398</v>
      </c>
      <c r="V67" s="673">
        <v>10.747130497137546</v>
      </c>
      <c r="W67" s="673">
        <v>0.72480363853781449</v>
      </c>
      <c r="X67" s="673">
        <v>14.887295637641801</v>
      </c>
      <c r="Y67" s="673" t="s">
        <v>815</v>
      </c>
      <c r="Z67" s="673">
        <v>11.670588112074562</v>
      </c>
      <c r="AA67" s="673">
        <v>8.1337194862248205E-2</v>
      </c>
      <c r="AB67" s="673">
        <v>3.6217369516304949E-2</v>
      </c>
      <c r="AC67" s="673" t="s">
        <v>815</v>
      </c>
      <c r="AD67" s="673">
        <v>2.7923952895725064</v>
      </c>
      <c r="AE67" s="673" t="s">
        <v>815</v>
      </c>
      <c r="AF67" s="673">
        <v>4.8241500355923575E-2</v>
      </c>
      <c r="AG67" s="673">
        <v>2.0032948347273618E-2</v>
      </c>
      <c r="AH67" s="673">
        <v>8.3476073560643682E-2</v>
      </c>
      <c r="AI67" s="673" t="s">
        <v>815</v>
      </c>
      <c r="AJ67" s="673">
        <v>0.27411982270324597</v>
      </c>
      <c r="AK67" s="673">
        <v>0.48118014367348677</v>
      </c>
      <c r="AL67" s="673" t="s">
        <v>815</v>
      </c>
      <c r="AM67" s="673" t="s">
        <v>815</v>
      </c>
      <c r="AN67" s="673">
        <v>1.18688685517564</v>
      </c>
      <c r="AO67" s="673">
        <v>1.1274391822037357E-2</v>
      </c>
      <c r="AP67" s="673">
        <v>0.28291140362986922</v>
      </c>
      <c r="AQ67" s="674">
        <v>5.1368829722220309E-2</v>
      </c>
      <c r="AR67" s="674">
        <f t="shared" si="3"/>
        <v>1.2382556848978603</v>
      </c>
      <c r="AS67" s="675">
        <f t="shared" si="4"/>
        <v>101.23825568489791</v>
      </c>
      <c r="AT67" s="675"/>
      <c r="AU67" s="674">
        <f t="shared" si="6"/>
        <v>11.670588112074562</v>
      </c>
      <c r="AV67" s="676">
        <f t="shared" si="2"/>
        <v>481.18014367348678</v>
      </c>
      <c r="AW67" s="677">
        <f t="shared" si="8"/>
        <v>3.6217369516304949E-2</v>
      </c>
      <c r="AX67" s="678">
        <f>AN67+AQ67</f>
        <v>1.2382556848978603</v>
      </c>
    </row>
    <row r="68" spans="1:50" s="717" customFormat="1">
      <c r="A68" s="706">
        <v>39</v>
      </c>
      <c r="B68" s="707" t="s">
        <v>855</v>
      </c>
      <c r="C68" s="681" t="s">
        <v>444</v>
      </c>
      <c r="D68" s="708">
        <v>259</v>
      </c>
      <c r="E68" s="709"/>
      <c r="F68" s="709"/>
      <c r="G68" s="709"/>
      <c r="H68" s="709">
        <v>5.6905450194872781E-2</v>
      </c>
      <c r="I68" s="709">
        <v>7.0594982866438469</v>
      </c>
      <c r="J68" s="709">
        <v>0.29772269757655856</v>
      </c>
      <c r="K68" s="709">
        <v>0.3063760887250131</v>
      </c>
      <c r="L68" s="709">
        <v>0.83474148791104652</v>
      </c>
      <c r="M68" s="709">
        <v>0.16885863785912672</v>
      </c>
      <c r="N68" s="709">
        <v>2.078556655354594</v>
      </c>
      <c r="O68" s="709">
        <v>0.63424581031947658</v>
      </c>
      <c r="P68" s="709">
        <v>0.52973620982487502</v>
      </c>
      <c r="Q68" s="709">
        <v>0.61188839807676598</v>
      </c>
      <c r="R68" s="709">
        <v>15.386754053779157</v>
      </c>
      <c r="S68" s="709">
        <v>1.3392473695203604</v>
      </c>
      <c r="T68" s="709">
        <v>0.15096553283020661</v>
      </c>
      <c r="U68" s="709">
        <v>0.22162778869337005</v>
      </c>
      <c r="V68" s="709">
        <v>2.9620032382670631</v>
      </c>
      <c r="W68" s="709">
        <v>0.32679045840431442</v>
      </c>
      <c r="X68" s="709">
        <v>35.226703728383178</v>
      </c>
      <c r="Y68" s="709">
        <v>9.1424847508876889E-2</v>
      </c>
      <c r="Z68" s="709">
        <v>28.537258273840838</v>
      </c>
      <c r="AA68" s="709">
        <v>0.20223728902599555</v>
      </c>
      <c r="AB68" s="709">
        <v>0.11124270993809941</v>
      </c>
      <c r="AC68" s="709">
        <v>0.36700729820842742</v>
      </c>
      <c r="AD68" s="709">
        <v>2.2594699840858361</v>
      </c>
      <c r="AE68" s="709">
        <v>7.3435076396375009E-3</v>
      </c>
      <c r="AF68" s="709" t="s">
        <v>815</v>
      </c>
      <c r="AG68" s="709">
        <v>0.13933787599397152</v>
      </c>
      <c r="AH68" s="709" t="s">
        <v>815</v>
      </c>
      <c r="AI68" s="709" t="s">
        <v>815</v>
      </c>
      <c r="AJ68" s="709" t="s">
        <v>815</v>
      </c>
      <c r="AK68" s="709">
        <v>1.6367839364242558E-2</v>
      </c>
      <c r="AL68" s="709">
        <v>1.9876436911811877E-2</v>
      </c>
      <c r="AM68" s="709" t="s">
        <v>815</v>
      </c>
      <c r="AN68" s="709" t="s">
        <v>815</v>
      </c>
      <c r="AO68" s="709">
        <v>4.5824280406150802E-2</v>
      </c>
      <c r="AP68" s="709">
        <v>9.9877647123221419E-3</v>
      </c>
      <c r="AQ68" s="710" t="s">
        <v>815</v>
      </c>
      <c r="AR68" s="711"/>
      <c r="AS68" s="712"/>
      <c r="AT68" s="710"/>
      <c r="AU68" s="713">
        <f>Z68</f>
        <v>28.537258273840838</v>
      </c>
      <c r="AV68" s="714">
        <f t="shared" si="2"/>
        <v>16.36783936424256</v>
      </c>
      <c r="AW68" s="715">
        <f t="shared" si="8"/>
        <v>0.11124270993809941</v>
      </c>
      <c r="AX68" s="716" t="e">
        <f>AN68+AQ68</f>
        <v>#VALUE!</v>
      </c>
    </row>
    <row r="69" spans="1:50" s="725" customFormat="1">
      <c r="A69" s="718">
        <v>40</v>
      </c>
      <c r="B69" s="719" t="s">
        <v>856</v>
      </c>
      <c r="C69" s="662" t="s">
        <v>2</v>
      </c>
      <c r="D69" s="720">
        <v>300</v>
      </c>
      <c r="E69" s="721"/>
      <c r="F69" s="721"/>
      <c r="G69" s="721"/>
      <c r="H69" s="721">
        <v>0.12581159839459896</v>
      </c>
      <c r="I69" s="721">
        <v>4.4468243163136796</v>
      </c>
      <c r="J69" s="721">
        <v>9.9316559076522204E-2</v>
      </c>
      <c r="K69" s="721">
        <v>2.1271533210375452E-2</v>
      </c>
      <c r="L69" s="721">
        <v>0.4671349903628001</v>
      </c>
      <c r="M69" s="721">
        <v>3.0506820421354018E-2</v>
      </c>
      <c r="N69" s="721">
        <v>1.7118254166852305</v>
      </c>
      <c r="O69" s="721">
        <v>0.10480908987670669</v>
      </c>
      <c r="P69" s="721">
        <v>0.19514518905989023</v>
      </c>
      <c r="Q69" s="721">
        <v>2.0496976244069733E-2</v>
      </c>
      <c r="R69" s="721">
        <v>30.636058320633584</v>
      </c>
      <c r="S69" s="721">
        <v>2.3533893549736735</v>
      </c>
      <c r="T69" s="721">
        <v>0.397780710737485</v>
      </c>
      <c r="U69" s="721">
        <v>0.12443346635841941</v>
      </c>
      <c r="V69" s="721">
        <v>14.439277360659814</v>
      </c>
      <c r="W69" s="721">
        <v>0.59286960805829814</v>
      </c>
      <c r="X69" s="721">
        <v>28.723069769557501</v>
      </c>
      <c r="Y69" s="721">
        <v>4.143614718829542E-2</v>
      </c>
      <c r="Z69" s="721">
        <v>13.29874075605403</v>
      </c>
      <c r="AA69" s="721">
        <v>0.12943987247972363</v>
      </c>
      <c r="AB69" s="721">
        <v>2.2541265174546035E-2</v>
      </c>
      <c r="AC69" s="721">
        <v>0.23322878477230941</v>
      </c>
      <c r="AD69" s="721">
        <v>0.63351532825894796</v>
      </c>
      <c r="AE69" s="721">
        <v>1.2110591988851463E-2</v>
      </c>
      <c r="AF69" s="721">
        <v>0.16891505386197103</v>
      </c>
      <c r="AG69" s="721">
        <v>4.9710913850516542E-2</v>
      </c>
      <c r="AH69" s="721">
        <v>2.9077857301131833E-2</v>
      </c>
      <c r="AI69" s="721">
        <v>1.3763676394316974E-2</v>
      </c>
      <c r="AJ69" s="721">
        <v>0.18387080938910311</v>
      </c>
      <c r="AK69" s="721">
        <v>0.22205819825853851</v>
      </c>
      <c r="AL69" s="721">
        <v>1.9593600911260507E-2</v>
      </c>
      <c r="AM69" s="721">
        <v>4.7615822979817056E-3</v>
      </c>
      <c r="AN69" s="721">
        <v>6.2193239906560352E-2</v>
      </c>
      <c r="AO69" s="721">
        <v>3.3403254972329842E-2</v>
      </c>
      <c r="AP69" s="721">
        <v>0.22904748825197621</v>
      </c>
      <c r="AQ69" s="722">
        <v>0.12257049806359629</v>
      </c>
      <c r="AR69" s="665">
        <f t="shared" si="3"/>
        <v>0.18476373797015666</v>
      </c>
      <c r="AS69" s="723"/>
      <c r="AT69" s="722"/>
      <c r="AU69" s="724">
        <f>Z69</f>
        <v>13.29874075605403</v>
      </c>
      <c r="AV69" s="667">
        <f t="shared" si="2"/>
        <v>222.05819825853851</v>
      </c>
      <c r="AW69" s="668">
        <f t="shared" si="8"/>
        <v>2.2541265174546035E-2</v>
      </c>
      <c r="AX69" s="669">
        <f t="shared" si="5"/>
        <v>0.18476373797015666</v>
      </c>
    </row>
    <row r="70" spans="1:50">
      <c r="A70" s="300"/>
      <c r="B70" s="300"/>
      <c r="C70" s="300"/>
      <c r="D70" s="300"/>
      <c r="E70" s="307"/>
      <c r="F70" s="307"/>
      <c r="G70" s="307"/>
      <c r="H70" s="301"/>
      <c r="I70" s="301"/>
      <c r="J70" s="301"/>
      <c r="K70" s="301"/>
      <c r="L70" s="301"/>
      <c r="M70" s="301"/>
      <c r="N70" s="301"/>
      <c r="O70" s="301"/>
      <c r="P70" s="301"/>
      <c r="Q70" s="301"/>
      <c r="R70" s="455"/>
      <c r="S70" s="301"/>
      <c r="T70" s="301"/>
      <c r="U70" s="301"/>
      <c r="V70" s="455"/>
      <c r="W70" s="301"/>
      <c r="X70" s="455"/>
      <c r="Y70" s="301"/>
      <c r="Z70" s="455"/>
      <c r="AA70" s="301"/>
      <c r="AB70" s="301"/>
      <c r="AC70" s="301"/>
      <c r="AD70" s="301"/>
      <c r="AE70" s="301"/>
      <c r="AF70" s="301"/>
      <c r="AG70" s="301"/>
      <c r="AH70" s="301"/>
      <c r="AI70" s="301"/>
      <c r="AJ70" s="301"/>
      <c r="AK70" s="301"/>
      <c r="AL70" s="301"/>
      <c r="AM70" s="301"/>
      <c r="AN70" s="301"/>
      <c r="AO70" s="301"/>
      <c r="AP70" s="301"/>
      <c r="AQ70" s="302"/>
      <c r="AR70" s="302"/>
      <c r="AS70" s="288"/>
      <c r="AT70" s="288"/>
      <c r="AU70" s="308"/>
      <c r="AV70" s="308"/>
      <c r="AW70" s="422"/>
      <c r="AX70" s="310"/>
    </row>
    <row r="71" spans="1:50">
      <c r="A71" s="300"/>
      <c r="B71" s="300"/>
      <c r="C71" s="300"/>
      <c r="D71" s="300"/>
      <c r="E71" s="307"/>
      <c r="F71" s="307"/>
      <c r="G71" s="307"/>
      <c r="H71" s="301"/>
      <c r="I71" s="301"/>
      <c r="J71" s="301"/>
      <c r="K71" s="301"/>
      <c r="L71" s="301"/>
      <c r="M71" s="301"/>
      <c r="N71" s="301"/>
      <c r="O71" s="301"/>
      <c r="P71" s="301"/>
      <c r="Q71" s="301"/>
      <c r="R71" s="455"/>
      <c r="S71" s="301"/>
      <c r="T71" s="301"/>
      <c r="U71" s="301"/>
      <c r="V71" s="455"/>
      <c r="W71" s="301"/>
      <c r="X71" s="455"/>
      <c r="Y71" s="301"/>
      <c r="Z71" s="455"/>
      <c r="AA71" s="301"/>
      <c r="AB71" s="301"/>
      <c r="AC71" s="301"/>
      <c r="AD71" s="301"/>
      <c r="AE71" s="301"/>
      <c r="AF71" s="301"/>
      <c r="AG71" s="301"/>
      <c r="AH71" s="301"/>
      <c r="AI71" s="301"/>
      <c r="AJ71" s="301"/>
      <c r="AK71" s="301"/>
      <c r="AL71" s="301"/>
      <c r="AM71" s="301"/>
      <c r="AN71" s="301"/>
      <c r="AO71" s="301"/>
      <c r="AP71" s="301"/>
      <c r="AQ71" s="302"/>
      <c r="AR71" s="302"/>
      <c r="AS71" s="288"/>
      <c r="AT71" s="288"/>
      <c r="AU71" s="308"/>
      <c r="AV71" s="308"/>
      <c r="AW71" s="308"/>
      <c r="AX71" s="310"/>
    </row>
    <row r="72" spans="1:50">
      <c r="A72" s="300"/>
      <c r="B72" s="300" t="s">
        <v>857</v>
      </c>
      <c r="C72" s="300"/>
      <c r="D72" s="300"/>
      <c r="E72" s="307"/>
      <c r="F72" s="307"/>
      <c r="G72" s="307"/>
      <c r="H72" s="301">
        <f>AVERAGE(H38:H51,H59,H64:H67)</f>
        <v>0.67605741662705143</v>
      </c>
      <c r="I72" s="301">
        <f>AVERAGE(I38:I51,I59,I64:I67)</f>
        <v>23.547496282359639</v>
      </c>
      <c r="J72" s="301">
        <f t="shared" ref="J72:AP72" si="9">AVERAGE(J38:J51,J59,J64:J67)</f>
        <v>0.11011667845523272</v>
      </c>
      <c r="K72" s="301">
        <f t="shared" si="9"/>
        <v>1.2975177872968932E-2</v>
      </c>
      <c r="L72" s="301">
        <f t="shared" si="9"/>
        <v>0.2768799362410112</v>
      </c>
      <c r="M72" s="301">
        <f t="shared" si="9"/>
        <v>1.7287247241498594E-2</v>
      </c>
      <c r="N72" s="301">
        <f t="shared" si="9"/>
        <v>1.0164007367781782</v>
      </c>
      <c r="O72" s="301">
        <f t="shared" si="9"/>
        <v>0.10798828603113768</v>
      </c>
      <c r="P72" s="301">
        <f t="shared" si="9"/>
        <v>0.14880195933101042</v>
      </c>
      <c r="Q72" s="301">
        <f t="shared" si="9"/>
        <v>0.1794108096089567</v>
      </c>
      <c r="R72" s="455">
        <f t="shared" si="9"/>
        <v>25.274935352540901</v>
      </c>
      <c r="S72" s="301">
        <f t="shared" si="9"/>
        <v>1.2776071816249588</v>
      </c>
      <c r="T72" s="301">
        <f t="shared" si="9"/>
        <v>0.35550568889173501</v>
      </c>
      <c r="U72" s="301">
        <f t="shared" si="9"/>
        <v>0.11778390462473885</v>
      </c>
      <c r="V72" s="455">
        <f t="shared" si="9"/>
        <v>17.3014746825774</v>
      </c>
      <c r="W72" s="301">
        <f t="shared" si="9"/>
        <v>0.92463560988442151</v>
      </c>
      <c r="X72" s="455">
        <f t="shared" si="9"/>
        <v>13.770301803343145</v>
      </c>
      <c r="Y72" s="301">
        <f t="shared" si="9"/>
        <v>0.22043431011802117</v>
      </c>
      <c r="Z72" s="455">
        <f t="shared" si="9"/>
        <v>9.8942403988905632</v>
      </c>
      <c r="AA72" s="301">
        <f t="shared" si="9"/>
        <v>0.17320570577656064</v>
      </c>
      <c r="AB72" s="301">
        <f t="shared" si="9"/>
        <v>3.7268080346740472E-2</v>
      </c>
      <c r="AC72" s="301">
        <f t="shared" si="9"/>
        <v>0.21608886998896212</v>
      </c>
      <c r="AD72" s="301">
        <f t="shared" si="9"/>
        <v>1.7903585494416812</v>
      </c>
      <c r="AE72" s="301">
        <f t="shared" si="9"/>
        <v>1.2958826545438066E-2</v>
      </c>
      <c r="AF72" s="301">
        <f t="shared" si="9"/>
        <v>0.36950515609655132</v>
      </c>
      <c r="AG72" s="301">
        <f t="shared" si="9"/>
        <v>5.1360953459380056E-2</v>
      </c>
      <c r="AH72" s="301">
        <f t="shared" si="9"/>
        <v>6.4030194254095368E-2</v>
      </c>
      <c r="AI72" s="301">
        <f t="shared" si="9"/>
        <v>3.1129788114321551E-2</v>
      </c>
      <c r="AJ72" s="301">
        <f t="shared" si="9"/>
        <v>0.19315146755392043</v>
      </c>
      <c r="AK72" s="301">
        <f t="shared" si="9"/>
        <v>1.0996010744837141</v>
      </c>
      <c r="AL72" s="301">
        <f t="shared" si="9"/>
        <v>1.9457369023092818E-2</v>
      </c>
      <c r="AM72" s="301">
        <f t="shared" si="9"/>
        <v>8.5034451477971444E-3</v>
      </c>
      <c r="AN72" s="301">
        <f t="shared" si="9"/>
        <v>0.54592647051818188</v>
      </c>
      <c r="AO72" s="301">
        <f t="shared" si="9"/>
        <v>3.2587687730467017E-2</v>
      </c>
      <c r="AP72" s="301">
        <f t="shared" si="9"/>
        <v>0.46332647113992154</v>
      </c>
      <c r="AQ72" s="301">
        <f>AVERAGE(AQ38:AQ51,AQ59,AQ64:AQ67)</f>
        <v>6.7407161789907077E-2</v>
      </c>
      <c r="AR72" s="301">
        <f>AVERAGE(AR38:AR51,AR59,AR64:AR67)</f>
        <v>0.5814250049605979</v>
      </c>
      <c r="AS72" s="288"/>
      <c r="AT72" s="288"/>
      <c r="AU72" s="308"/>
      <c r="AV72" s="308"/>
      <c r="AW72" s="308"/>
      <c r="AX72" s="310"/>
    </row>
    <row r="73" spans="1:50">
      <c r="A73" s="300"/>
      <c r="B73" s="300" t="s">
        <v>858</v>
      </c>
      <c r="C73" s="300"/>
      <c r="D73" s="300"/>
      <c r="E73" s="307"/>
      <c r="F73" s="307"/>
      <c r="G73" s="307"/>
      <c r="H73" s="301">
        <f>AVERAGE(H52:H56,H69)</f>
        <v>0.79366448383896204</v>
      </c>
      <c r="I73" s="301">
        <f>AVERAGE(I52:I56,I69)</f>
        <v>23.625839561855638</v>
      </c>
      <c r="J73" s="301">
        <f t="shared" ref="J73:AJ73" si="10">AVERAGE(J52:J56,J69)</f>
        <v>0.19647808541295297</v>
      </c>
      <c r="K73" s="301">
        <f t="shared" si="10"/>
        <v>1.9760735701697434E-2</v>
      </c>
      <c r="L73" s="301">
        <f t="shared" si="10"/>
        <v>0.35494606689175767</v>
      </c>
      <c r="M73" s="301">
        <f t="shared" si="10"/>
        <v>1.9051737976436941E-2</v>
      </c>
      <c r="N73" s="301">
        <f t="shared" si="10"/>
        <v>1.4125830415233043</v>
      </c>
      <c r="O73" s="301">
        <f t="shared" si="10"/>
        <v>0.10795468283064859</v>
      </c>
      <c r="P73" s="301">
        <f t="shared" si="10"/>
        <v>0.14277363754282713</v>
      </c>
      <c r="Q73" s="301">
        <f t="shared" si="10"/>
        <v>5.0133384346210209E-2</v>
      </c>
      <c r="R73" s="301">
        <f t="shared" si="10"/>
        <v>21.384885505553953</v>
      </c>
      <c r="S73" s="301">
        <f t="shared" si="10"/>
        <v>1.9463503358731706</v>
      </c>
      <c r="T73" s="301">
        <f t="shared" si="10"/>
        <v>0.30485902097537615</v>
      </c>
      <c r="U73" s="301">
        <f t="shared" si="10"/>
        <v>0.10498176104502582</v>
      </c>
      <c r="V73" s="301">
        <f t="shared" si="10"/>
        <v>10.69871049598669</v>
      </c>
      <c r="W73" s="301">
        <f t="shared" si="10"/>
        <v>0.47927965774597053</v>
      </c>
      <c r="X73" s="301">
        <f t="shared" si="10"/>
        <v>18.977481608577495</v>
      </c>
      <c r="Y73" s="301">
        <f t="shared" si="10"/>
        <v>4.8860977640882153E-2</v>
      </c>
      <c r="Z73" s="301">
        <f t="shared" si="10"/>
        <v>15.164446070330742</v>
      </c>
      <c r="AA73" s="301">
        <f t="shared" si="10"/>
        <v>0.11287769008008307</v>
      </c>
      <c r="AB73" s="301">
        <f t="shared" si="10"/>
        <v>4.1877083371925083E-2</v>
      </c>
      <c r="AC73" s="301">
        <f t="shared" si="10"/>
        <v>0.23058719140034997</v>
      </c>
      <c r="AD73" s="301">
        <f t="shared" si="10"/>
        <v>1.0168785501638793</v>
      </c>
      <c r="AE73" s="301">
        <f t="shared" si="10"/>
        <v>8.4912655254620068E-3</v>
      </c>
      <c r="AF73" s="301">
        <f t="shared" si="10"/>
        <v>9.3868592774130288E-2</v>
      </c>
      <c r="AG73" s="301">
        <f t="shared" si="10"/>
        <v>3.5689197576564323E-2</v>
      </c>
      <c r="AH73" s="301">
        <f t="shared" si="10"/>
        <v>8.0867987913699008E-2</v>
      </c>
      <c r="AI73" s="301">
        <f t="shared" si="10"/>
        <v>5.5154970178560657E-2</v>
      </c>
      <c r="AJ73" s="301">
        <f t="shared" si="10"/>
        <v>0.37820884188548715</v>
      </c>
      <c r="AK73" s="301">
        <f>AVERAGE(AK52:AK56,AK69)</f>
        <v>0.48430240046935885</v>
      </c>
      <c r="AL73" s="301">
        <f t="shared" ref="AL73:AQ73" si="11">AVERAGE(AL52:AL56,AL69)</f>
        <v>1.9593600911260507E-2</v>
      </c>
      <c r="AM73" s="301">
        <f t="shared" si="11"/>
        <v>1.4438524744737492E-2</v>
      </c>
      <c r="AN73" s="301">
        <f t="shared" si="11"/>
        <v>0.70326242044246168</v>
      </c>
      <c r="AO73" s="301">
        <f t="shared" si="11"/>
        <v>2.2126575611827307E-2</v>
      </c>
      <c r="AP73" s="301">
        <f t="shared" si="11"/>
        <v>0.50817106286878655</v>
      </c>
      <c r="AQ73" s="301">
        <f t="shared" si="11"/>
        <v>0.5026867649501473</v>
      </c>
      <c r="AR73" s="301">
        <f>AVERAGE(AR52:AR56,AR69)</f>
        <v>1.2059491853926088</v>
      </c>
      <c r="AS73" s="288"/>
      <c r="AT73" s="288"/>
      <c r="AU73" s="308"/>
      <c r="AV73" s="308"/>
      <c r="AW73" s="308"/>
      <c r="AX73" s="310"/>
    </row>
    <row r="74" spans="1:50">
      <c r="A74" s="434"/>
      <c r="B74" s="434" t="s">
        <v>859</v>
      </c>
      <c r="C74" s="434"/>
      <c r="D74" s="434"/>
      <c r="E74" s="459"/>
      <c r="F74" s="459"/>
      <c r="G74" s="459"/>
      <c r="H74" s="455">
        <f>AVERAGE(H57:H58,H61:H63,H68)</f>
        <v>0.83993786245148083</v>
      </c>
      <c r="I74" s="455">
        <f t="shared" ref="I74:AJ74" si="12">AVERAGE(I57:I58,I61:I63,I68)</f>
        <v>20.609238898125028</v>
      </c>
      <c r="J74" s="455">
        <f t="shared" si="12"/>
        <v>0.15669394048945187</v>
      </c>
      <c r="K74" s="455">
        <f t="shared" si="12"/>
        <v>6.0108541835059641E-2</v>
      </c>
      <c r="L74" s="455">
        <f t="shared" si="12"/>
        <v>0.3200765824170268</v>
      </c>
      <c r="M74" s="455">
        <f t="shared" si="12"/>
        <v>4.1437299711989825E-2</v>
      </c>
      <c r="N74" s="455">
        <f t="shared" si="12"/>
        <v>0.70855908147857083</v>
      </c>
      <c r="O74" s="455">
        <f t="shared" si="12"/>
        <v>0.1840957078340231</v>
      </c>
      <c r="P74" s="455">
        <f t="shared" si="12"/>
        <v>0.14216960675233639</v>
      </c>
      <c r="Q74" s="455">
        <f t="shared" si="12"/>
        <v>0.20671007772544653</v>
      </c>
      <c r="R74" s="455">
        <f t="shared" si="12"/>
        <v>12.939093611588467</v>
      </c>
      <c r="S74" s="455">
        <f t="shared" si="12"/>
        <v>0.66374512651757034</v>
      </c>
      <c r="T74" s="455">
        <f t="shared" si="12"/>
        <v>0.15878114415874148</v>
      </c>
      <c r="U74" s="455">
        <f t="shared" si="12"/>
        <v>0.13168522060661231</v>
      </c>
      <c r="V74" s="455">
        <f t="shared" si="12"/>
        <v>5.9836223962264334</v>
      </c>
      <c r="W74" s="455">
        <f t="shared" si="12"/>
        <v>0.3655843602936617</v>
      </c>
      <c r="X74" s="455">
        <f t="shared" si="12"/>
        <v>23.951118518744412</v>
      </c>
      <c r="Y74" s="455">
        <f t="shared" si="12"/>
        <v>5.8820934697546172E-2</v>
      </c>
      <c r="Z74" s="455">
        <f t="shared" si="12"/>
        <v>27.385530392593594</v>
      </c>
      <c r="AA74" s="455">
        <f t="shared" si="12"/>
        <v>0.14838601153587402</v>
      </c>
      <c r="AB74" s="455">
        <f t="shared" si="12"/>
        <v>6.5601649064956538E-2</v>
      </c>
      <c r="AC74" s="455">
        <f t="shared" si="12"/>
        <v>0.33346329744721404</v>
      </c>
      <c r="AD74" s="455">
        <f t="shared" si="12"/>
        <v>3.4345997364612919</v>
      </c>
      <c r="AE74" s="455">
        <f t="shared" si="12"/>
        <v>7.40197004644879E-3</v>
      </c>
      <c r="AF74" s="455">
        <f t="shared" si="12"/>
        <v>5.0935495060917366E-2</v>
      </c>
      <c r="AG74" s="455">
        <f t="shared" si="12"/>
        <v>0.16555152916039045</v>
      </c>
      <c r="AH74" s="455">
        <f t="shared" si="12"/>
        <v>4.5675580331229593E-2</v>
      </c>
      <c r="AI74" s="455" t="e">
        <f t="shared" si="12"/>
        <v>#DIV/0!</v>
      </c>
      <c r="AJ74" s="455">
        <f t="shared" si="12"/>
        <v>5.673242818608433E-2</v>
      </c>
      <c r="AK74" s="455">
        <f>AVERAGE(AK57:AK58,AK61:AK63,AK68)</f>
        <v>0.23387299605046494</v>
      </c>
      <c r="AL74" s="455">
        <f t="shared" ref="AL74:AR74" si="13">AVERAGE(AL57:AL58,AL61:AL63,AL68)</f>
        <v>1.6379315043192448E-2</v>
      </c>
      <c r="AM74" s="455" t="e">
        <f t="shared" si="13"/>
        <v>#DIV/0!</v>
      </c>
      <c r="AN74" s="455">
        <f t="shared" si="13"/>
        <v>0.63216120187554425</v>
      </c>
      <c r="AO74" s="455">
        <f t="shared" si="13"/>
        <v>5.9942536177179206E-2</v>
      </c>
      <c r="AP74" s="455">
        <f t="shared" si="13"/>
        <v>0.35042713376751505</v>
      </c>
      <c r="AQ74" s="455">
        <f t="shared" si="13"/>
        <v>0.19569322995036753</v>
      </c>
      <c r="AR74" s="455">
        <f t="shared" si="13"/>
        <v>0.66718947449485633</v>
      </c>
      <c r="AS74" s="288"/>
      <c r="AT74" s="288"/>
      <c r="AU74" s="460"/>
      <c r="AV74" s="461"/>
      <c r="AW74" s="461"/>
      <c r="AX74" s="461"/>
    </row>
    <row r="75" spans="1:50">
      <c r="A75" s="300"/>
      <c r="B75" s="300"/>
      <c r="C75" s="300"/>
      <c r="D75" s="300"/>
      <c r="E75" s="307"/>
      <c r="F75" s="307"/>
      <c r="G75" s="307"/>
      <c r="H75" s="301"/>
      <c r="I75" s="301"/>
      <c r="J75" s="301"/>
      <c r="K75" s="301"/>
      <c r="L75" s="301"/>
      <c r="M75" s="301"/>
      <c r="N75" s="301"/>
      <c r="O75" s="301"/>
      <c r="P75" s="301"/>
      <c r="Q75" s="301"/>
      <c r="R75" s="455"/>
      <c r="S75" s="301"/>
      <c r="T75" s="301"/>
      <c r="U75" s="301"/>
      <c r="V75" s="455"/>
      <c r="W75" s="301"/>
      <c r="X75" s="455"/>
      <c r="Y75" s="301"/>
      <c r="Z75" s="455"/>
      <c r="AA75" s="301"/>
      <c r="AB75" s="301"/>
      <c r="AC75" s="301"/>
      <c r="AD75" s="301"/>
      <c r="AE75" s="301"/>
      <c r="AF75" s="301"/>
      <c r="AG75" s="301"/>
      <c r="AH75" s="301"/>
      <c r="AI75" s="301"/>
      <c r="AJ75" s="301"/>
      <c r="AK75" s="301"/>
      <c r="AL75" s="301"/>
      <c r="AM75" s="301"/>
      <c r="AN75" s="301"/>
      <c r="AO75" s="301"/>
      <c r="AP75" s="301"/>
      <c r="AQ75" s="301"/>
      <c r="AR75" s="301"/>
      <c r="AS75" s="288"/>
      <c r="AT75" s="288"/>
      <c r="AU75" s="311"/>
      <c r="AV75" s="312"/>
      <c r="AW75" s="312"/>
      <c r="AX75" s="312"/>
    </row>
    <row r="76" spans="1:50">
      <c r="A76" s="300"/>
      <c r="B76" s="300"/>
      <c r="C76" s="300"/>
      <c r="D76" s="300"/>
      <c r="E76" s="307"/>
      <c r="F76" s="307"/>
      <c r="G76" s="307"/>
      <c r="H76" s="301"/>
      <c r="I76" s="301"/>
      <c r="J76" s="301"/>
      <c r="K76" s="301"/>
      <c r="L76" s="301"/>
      <c r="M76" s="301"/>
      <c r="N76" s="301"/>
      <c r="O76" s="301"/>
      <c r="P76" s="301"/>
      <c r="Q76" s="301"/>
      <c r="R76" s="455"/>
      <c r="S76" s="301"/>
      <c r="T76" s="301"/>
      <c r="U76" s="301"/>
      <c r="V76" s="455"/>
      <c r="W76" s="301"/>
      <c r="X76" s="455"/>
      <c r="Y76" s="301"/>
      <c r="Z76" s="455"/>
      <c r="AA76" s="301"/>
      <c r="AB76" s="301"/>
      <c r="AC76" s="301"/>
      <c r="AD76" s="301"/>
      <c r="AE76" s="301"/>
      <c r="AF76" s="301"/>
      <c r="AG76" s="301"/>
      <c r="AH76" s="301"/>
      <c r="AI76" s="301"/>
      <c r="AJ76" s="301"/>
      <c r="AK76" s="301"/>
      <c r="AL76" s="301"/>
      <c r="AM76" s="301"/>
      <c r="AN76" s="301"/>
      <c r="AO76" s="301"/>
      <c r="AP76" s="301"/>
      <c r="AQ76" s="301"/>
      <c r="AR76" s="301"/>
      <c r="AS76" s="288"/>
      <c r="AU76" s="308"/>
      <c r="AV76" s="308"/>
      <c r="AW76" s="308"/>
      <c r="AX76" s="310"/>
    </row>
    <row r="77" spans="1:50">
      <c r="Z77" s="292" t="s">
        <v>762</v>
      </c>
      <c r="AA77" s="296" t="s">
        <v>763</v>
      </c>
      <c r="AB77" s="296" t="s">
        <v>764</v>
      </c>
    </row>
    <row r="78" spans="1:50">
      <c r="H78" s="287" t="s">
        <v>712</v>
      </c>
      <c r="I78" s="287" t="s">
        <v>713</v>
      </c>
      <c r="J78" s="287" t="s">
        <v>714</v>
      </c>
      <c r="K78" s="287" t="s">
        <v>715</v>
      </c>
      <c r="L78" s="287" t="s">
        <v>716</v>
      </c>
      <c r="M78" s="287" t="s">
        <v>717</v>
      </c>
      <c r="N78" s="287" t="s">
        <v>718</v>
      </c>
      <c r="O78" s="287" t="s">
        <v>719</v>
      </c>
      <c r="P78" s="287" t="s">
        <v>720</v>
      </c>
      <c r="Q78" s="287" t="s">
        <v>721</v>
      </c>
      <c r="R78" s="287" t="s">
        <v>722</v>
      </c>
      <c r="S78" s="287" t="s">
        <v>723</v>
      </c>
      <c r="T78" s="287" t="s">
        <v>724</v>
      </c>
      <c r="U78" s="287" t="s">
        <v>725</v>
      </c>
      <c r="V78" s="287" t="s">
        <v>726</v>
      </c>
      <c r="W78" s="287" t="s">
        <v>727</v>
      </c>
      <c r="X78" s="287" t="s">
        <v>728</v>
      </c>
      <c r="Y78" s="287" t="s">
        <v>729</v>
      </c>
      <c r="Z78" s="287" t="s">
        <v>730</v>
      </c>
      <c r="AA78" s="287" t="s">
        <v>731</v>
      </c>
      <c r="AB78" s="287" t="s">
        <v>732</v>
      </c>
      <c r="AC78" s="287" t="s">
        <v>733</v>
      </c>
      <c r="AD78" s="287" t="s">
        <v>734</v>
      </c>
      <c r="AE78" s="287" t="s">
        <v>735</v>
      </c>
      <c r="AF78" s="287" t="s">
        <v>736</v>
      </c>
      <c r="AG78" s="287" t="s">
        <v>737</v>
      </c>
      <c r="AH78" s="287" t="s">
        <v>738</v>
      </c>
      <c r="AI78" s="287" t="s">
        <v>739</v>
      </c>
      <c r="AJ78" s="287" t="s">
        <v>740</v>
      </c>
      <c r="AK78" s="287" t="s">
        <v>741</v>
      </c>
      <c r="AL78" s="287" t="s">
        <v>742</v>
      </c>
      <c r="AM78" s="287" t="s">
        <v>743</v>
      </c>
      <c r="AN78" s="287" t="s">
        <v>744</v>
      </c>
      <c r="AO78" s="287" t="s">
        <v>745</v>
      </c>
      <c r="AP78" s="287" t="s">
        <v>746</v>
      </c>
      <c r="AQ78" s="287" t="s">
        <v>747</v>
      </c>
    </row>
    <row r="79" spans="1:50">
      <c r="H79" s="293" t="s">
        <v>767</v>
      </c>
      <c r="I79" s="293" t="s">
        <v>768</v>
      </c>
      <c r="J79" s="293" t="s">
        <v>768</v>
      </c>
      <c r="K79" s="293" t="s">
        <v>768</v>
      </c>
      <c r="L79" s="293" t="s">
        <v>768</v>
      </c>
      <c r="M79" s="293" t="s">
        <v>768</v>
      </c>
      <c r="N79" s="293" t="s">
        <v>768</v>
      </c>
      <c r="O79" s="293" t="s">
        <v>768</v>
      </c>
      <c r="P79" s="293" t="s">
        <v>768</v>
      </c>
      <c r="Q79" s="293" t="s">
        <v>768</v>
      </c>
      <c r="R79" s="453" t="s">
        <v>768</v>
      </c>
      <c r="S79" s="293" t="s">
        <v>768</v>
      </c>
      <c r="T79" s="293" t="s">
        <v>768</v>
      </c>
      <c r="U79" s="293" t="s">
        <v>768</v>
      </c>
      <c r="V79" s="453" t="s">
        <v>768</v>
      </c>
      <c r="W79" s="293" t="s">
        <v>768</v>
      </c>
      <c r="X79" s="453" t="s">
        <v>768</v>
      </c>
      <c r="Y79" s="293" t="s">
        <v>768</v>
      </c>
      <c r="Z79" s="453" t="s">
        <v>768</v>
      </c>
      <c r="AA79" s="293" t="s">
        <v>768</v>
      </c>
      <c r="AB79" s="293" t="s">
        <v>768</v>
      </c>
      <c r="AC79" s="293" t="s">
        <v>768</v>
      </c>
      <c r="AD79" s="293" t="s">
        <v>768</v>
      </c>
      <c r="AE79" s="293" t="s">
        <v>768</v>
      </c>
      <c r="AF79" s="293" t="s">
        <v>768</v>
      </c>
      <c r="AG79" s="293" t="s">
        <v>768</v>
      </c>
      <c r="AH79" s="293" t="s">
        <v>768</v>
      </c>
      <c r="AI79" s="293" t="s">
        <v>768</v>
      </c>
      <c r="AJ79" s="293" t="s">
        <v>768</v>
      </c>
      <c r="AK79" s="293" t="s">
        <v>768</v>
      </c>
      <c r="AL79" s="293" t="s">
        <v>768</v>
      </c>
      <c r="AM79" s="293" t="s">
        <v>768</v>
      </c>
      <c r="AN79" s="293" t="s">
        <v>768</v>
      </c>
      <c r="AO79" s="293" t="s">
        <v>768</v>
      </c>
      <c r="AP79" s="293" t="s">
        <v>768</v>
      </c>
      <c r="AQ79" s="295" t="s">
        <v>768</v>
      </c>
      <c r="AR79" s="287" t="s">
        <v>769</v>
      </c>
      <c r="AS79" s="287" t="s">
        <v>706</v>
      </c>
    </row>
    <row r="80" spans="1:50" s="292" customFormat="1">
      <c r="C80" s="292" t="s">
        <v>860</v>
      </c>
      <c r="E80" s="300" t="s">
        <v>857</v>
      </c>
      <c r="I80" s="301">
        <v>23.547496282359639</v>
      </c>
      <c r="J80" s="435"/>
      <c r="K80" s="435"/>
      <c r="L80" s="435"/>
      <c r="M80" s="435"/>
      <c r="N80" s="301">
        <v>1.0164007367781782</v>
      </c>
      <c r="O80" s="435"/>
      <c r="P80" s="435"/>
      <c r="Q80" s="435"/>
      <c r="R80" s="455">
        <v>25.274935352540901</v>
      </c>
      <c r="S80" s="292">
        <v>1.28</v>
      </c>
      <c r="V80" s="292">
        <v>17.3</v>
      </c>
      <c r="X80" s="292">
        <v>13.77</v>
      </c>
      <c r="Z80" s="292">
        <v>9.89</v>
      </c>
      <c r="AD80" s="292">
        <v>1.7903585494416812</v>
      </c>
      <c r="AK80" s="292">
        <v>1.1000000000000001</v>
      </c>
      <c r="AR80" s="310">
        <f>SUM(AQ72,AP72,AO72,AN72,AM72,AL72,AJ72,AI72,AH72,AG72,AF72,AE72,AC72,AB72,AA72,Y72,W72,U72,T72,S72,Q72,P72,O72,M72,L72,K72,J72,H72)</f>
        <v>6.711391854038081</v>
      </c>
      <c r="AS80" s="292">
        <f>SUM(H80:AR80)</f>
        <v>101.68058277515847</v>
      </c>
    </row>
    <row r="81" spans="1:45" s="292" customFormat="1">
      <c r="E81" s="300" t="s">
        <v>858</v>
      </c>
      <c r="I81" s="301">
        <v>23.625839561855599</v>
      </c>
      <c r="N81" s="301">
        <v>1.4125830415233043</v>
      </c>
      <c r="R81" s="301">
        <v>21.384885505553953</v>
      </c>
      <c r="S81" s="292">
        <v>1.95</v>
      </c>
      <c r="V81" s="292">
        <v>10.69871049598669</v>
      </c>
      <c r="X81" s="292">
        <v>18.977481608577495</v>
      </c>
      <c r="Z81" s="292">
        <v>15.164446070330742</v>
      </c>
      <c r="AD81" s="292">
        <v>1.0168785501638793</v>
      </c>
      <c r="AR81" s="310">
        <f>SUM(AK73:AL73,AM73:AQ73,AE73:AJ73,AA73:AC73,Y73,W73,T73:U73,O73:Q73,J73:M73,H73)</f>
        <v>5.9149484026535895</v>
      </c>
      <c r="AS81" s="292">
        <f t="shared" ref="AS81:AS82" si="14">SUM(H81:AR81)</f>
        <v>100.14577323664525</v>
      </c>
    </row>
    <row r="82" spans="1:45" s="292" customFormat="1">
      <c r="E82" s="434" t="s">
        <v>859</v>
      </c>
      <c r="I82" s="455">
        <v>20.609238898125028</v>
      </c>
      <c r="R82" s="455">
        <v>12.939093611588467</v>
      </c>
      <c r="V82" s="292">
        <v>5.9836223962264334</v>
      </c>
      <c r="X82" s="292">
        <v>23.951118518744412</v>
      </c>
      <c r="Z82" s="292">
        <v>27.385530392593594</v>
      </c>
      <c r="AD82" s="292">
        <v>3.4345997364612919</v>
      </c>
      <c r="AR82" s="310">
        <f>SUM(AN74:AQ74,AL74,AK74,AJ74,AE74:AH74,AA74:AC74,Y74,W74,T74:U74,S74,O74:Q74,J74:N74,H74)</f>
        <v>6.4006298606668972</v>
      </c>
      <c r="AS82" s="292">
        <f t="shared" si="14"/>
        <v>100.70383341440612</v>
      </c>
    </row>
    <row r="87" spans="1:45" ht="13.15">
      <c r="H87" s="978" t="s">
        <v>861</v>
      </c>
      <c r="I87" s="978"/>
      <c r="J87" s="978"/>
      <c r="K87" s="978"/>
      <c r="R87" s="569"/>
      <c r="S87" s="570" t="s">
        <v>713</v>
      </c>
      <c r="T87" s="570" t="s">
        <v>718</v>
      </c>
      <c r="U87" s="570" t="s">
        <v>722</v>
      </c>
      <c r="V87" s="570" t="s">
        <v>723</v>
      </c>
      <c r="W87" s="570" t="s">
        <v>726</v>
      </c>
      <c r="X87" s="570" t="s">
        <v>728</v>
      </c>
      <c r="Y87" s="570" t="s">
        <v>730</v>
      </c>
      <c r="Z87" s="570" t="s">
        <v>734</v>
      </c>
      <c r="AA87" s="570" t="s">
        <v>741</v>
      </c>
      <c r="AB87" s="571"/>
    </row>
    <row r="88" spans="1:45" ht="13.15">
      <c r="H88" s="292" t="s">
        <v>862</v>
      </c>
      <c r="I88" s="292" t="s">
        <v>863</v>
      </c>
      <c r="J88" s="292" t="s">
        <v>864</v>
      </c>
      <c r="K88" s="292" t="s">
        <v>865</v>
      </c>
      <c r="L88" s="292" t="s">
        <v>866</v>
      </c>
      <c r="M88" s="287" t="s">
        <v>867</v>
      </c>
      <c r="N88" s="287" t="s">
        <v>868</v>
      </c>
      <c r="O88" s="287" t="s">
        <v>869</v>
      </c>
      <c r="P88" s="287" t="s">
        <v>806</v>
      </c>
      <c r="Q88" s="287" t="s">
        <v>809</v>
      </c>
      <c r="R88" s="572"/>
      <c r="S88" s="573" t="s">
        <v>775</v>
      </c>
      <c r="T88" s="573" t="s">
        <v>780</v>
      </c>
      <c r="U88" s="573" t="s">
        <v>784</v>
      </c>
      <c r="V88" s="573" t="s">
        <v>785</v>
      </c>
      <c r="W88" s="573" t="s">
        <v>788</v>
      </c>
      <c r="X88" s="573" t="s">
        <v>790</v>
      </c>
      <c r="Y88" s="573" t="s">
        <v>792</v>
      </c>
      <c r="Z88" s="573" t="s">
        <v>796</v>
      </c>
      <c r="AA88" s="573" t="s">
        <v>803</v>
      </c>
      <c r="AB88" s="574" t="s">
        <v>769</v>
      </c>
      <c r="AC88" s="453"/>
    </row>
    <row r="89" spans="1:45" ht="13.9" customHeight="1">
      <c r="A89" s="974" t="s">
        <v>813</v>
      </c>
      <c r="B89" s="974"/>
      <c r="C89" s="974"/>
      <c r="E89" s="287" t="s">
        <v>870</v>
      </c>
      <c r="H89" s="436" t="s">
        <v>762</v>
      </c>
      <c r="I89" s="436" t="s">
        <v>763</v>
      </c>
      <c r="J89" s="508">
        <v>0.03</v>
      </c>
      <c r="K89" s="436" t="s">
        <v>764</v>
      </c>
      <c r="L89" s="436" t="s">
        <v>765</v>
      </c>
      <c r="R89" s="572" t="s">
        <v>857</v>
      </c>
      <c r="S89" s="575">
        <v>23.547496282359599</v>
      </c>
      <c r="T89" s="575">
        <v>1.0164007367781782</v>
      </c>
      <c r="U89" s="575">
        <v>25.274935352540901</v>
      </c>
      <c r="V89" s="292">
        <v>1.28</v>
      </c>
      <c r="W89" s="292">
        <v>17.3</v>
      </c>
      <c r="X89" s="292">
        <v>13.77</v>
      </c>
      <c r="Y89" s="292">
        <v>9.89</v>
      </c>
      <c r="Z89" s="292">
        <v>1.7903585494416812</v>
      </c>
      <c r="AA89" s="292">
        <v>1.1000000000000001</v>
      </c>
      <c r="AB89" s="576">
        <v>6.711391854038081</v>
      </c>
      <c r="AC89" s="292"/>
    </row>
    <row r="90" spans="1:45" ht="13.15">
      <c r="A90" s="974"/>
      <c r="B90" s="974"/>
      <c r="C90" s="974"/>
      <c r="D90" s="434"/>
      <c r="E90" s="437">
        <v>265</v>
      </c>
      <c r="F90" s="438"/>
      <c r="G90" s="438"/>
      <c r="H90" s="439">
        <v>11.574006891124132</v>
      </c>
      <c r="I90" s="439">
        <v>1042.6404922275501</v>
      </c>
      <c r="J90" s="509">
        <f>I90/1000</f>
        <v>1.0426404922275501</v>
      </c>
      <c r="K90" s="617">
        <v>0.5787599287109132</v>
      </c>
      <c r="L90" s="439">
        <v>4.9542232464539843E-2</v>
      </c>
      <c r="M90" s="726">
        <v>31.695488133714967</v>
      </c>
      <c r="N90" s="726">
        <v>16.180033433420377</v>
      </c>
      <c r="O90" s="726">
        <v>20.751529458191435</v>
      </c>
      <c r="P90" s="726">
        <v>2.1750981968721456E-2</v>
      </c>
      <c r="Q90" s="727">
        <v>2.7791250495818386E-2</v>
      </c>
      <c r="R90" s="572" t="s">
        <v>858</v>
      </c>
      <c r="S90" s="575">
        <v>23.625839561855599</v>
      </c>
      <c r="T90" s="575">
        <v>1.4125830415233043</v>
      </c>
      <c r="U90" s="575">
        <v>21.384885505553953</v>
      </c>
      <c r="V90" s="292">
        <v>1.95</v>
      </c>
      <c r="W90" s="292">
        <v>10.69871049598669</v>
      </c>
      <c r="X90" s="292">
        <v>18.977481608577495</v>
      </c>
      <c r="Y90" s="292">
        <v>15.164446070330742</v>
      </c>
      <c r="Z90" s="292">
        <v>1.0168785501638793</v>
      </c>
      <c r="AA90" s="292"/>
      <c r="AB90" s="576">
        <v>5.9149484026535895</v>
      </c>
      <c r="AC90" s="292"/>
    </row>
    <row r="91" spans="1:45" ht="13.15">
      <c r="A91" s="974"/>
      <c r="B91" s="974"/>
      <c r="C91" s="974"/>
      <c r="D91" s="434"/>
      <c r="E91" s="440">
        <v>266</v>
      </c>
      <c r="F91" s="438"/>
      <c r="G91" s="438"/>
      <c r="H91" s="439">
        <v>6.213252725446349</v>
      </c>
      <c r="I91" s="439">
        <v>2062.0399934856764</v>
      </c>
      <c r="J91" s="509">
        <f t="shared" ref="J91:J113" si="15">I91/1000</f>
        <v>2.0620399934856763</v>
      </c>
      <c r="K91" s="617">
        <v>2.3058996350547498</v>
      </c>
      <c r="L91" s="439">
        <v>0.38862129260121869</v>
      </c>
      <c r="M91" s="726">
        <v>32.960110279225482</v>
      </c>
      <c r="N91" s="726">
        <v>23.793922602222111</v>
      </c>
      <c r="O91" s="726">
        <v>9.2797688444048134</v>
      </c>
      <c r="P91" s="726">
        <v>0.36349779508404556</v>
      </c>
      <c r="Q91" s="727">
        <v>2.5123497517173122E-2</v>
      </c>
      <c r="R91" s="577" t="s">
        <v>859</v>
      </c>
      <c r="S91" s="578">
        <v>20.609238898125028</v>
      </c>
      <c r="T91" s="579"/>
      <c r="U91" s="578">
        <v>12.939093611588467</v>
      </c>
      <c r="V91" s="579"/>
      <c r="W91" s="579">
        <v>5.9836223962264334</v>
      </c>
      <c r="X91" s="579">
        <v>23.951118518744412</v>
      </c>
      <c r="Y91" s="579">
        <v>27.385530392593594</v>
      </c>
      <c r="Z91" s="579">
        <v>3.4345997364612919</v>
      </c>
      <c r="AA91" s="579"/>
      <c r="AB91" s="580">
        <v>6.4006298606668972</v>
      </c>
      <c r="AC91" s="292"/>
    </row>
    <row r="92" spans="1:45" ht="13.15">
      <c r="A92" s="974"/>
      <c r="B92" s="974"/>
      <c r="C92" s="974"/>
      <c r="D92" s="434"/>
      <c r="E92" s="440">
        <v>267</v>
      </c>
      <c r="F92" s="438"/>
      <c r="G92" s="438"/>
      <c r="H92" s="439">
        <v>3.0481911328055271</v>
      </c>
      <c r="I92" s="439">
        <v>1754.382955361398</v>
      </c>
      <c r="J92" s="509">
        <f t="shared" si="15"/>
        <v>1.7543829553613981</v>
      </c>
      <c r="K92" s="617">
        <v>0.27192329191413483</v>
      </c>
      <c r="L92" s="439">
        <v>0.47927341274626228</v>
      </c>
      <c r="M92" s="726">
        <v>37.568185184206399</v>
      </c>
      <c r="N92" s="726">
        <v>27.917174051293514</v>
      </c>
      <c r="O92" s="726">
        <v>5.0799037799136135</v>
      </c>
      <c r="P92" s="726">
        <v>0.45215570157921053</v>
      </c>
      <c r="Q92" s="727">
        <v>2.7117711167051761E-2</v>
      </c>
      <c r="W92" s="567"/>
    </row>
    <row r="93" spans="1:45">
      <c r="A93" s="974"/>
      <c r="B93" s="974"/>
      <c r="C93" s="974"/>
      <c r="D93" s="434"/>
      <c r="E93" s="440">
        <v>268</v>
      </c>
      <c r="F93" s="438"/>
      <c r="G93" s="438"/>
      <c r="H93" s="439">
        <v>5.1644903582852839</v>
      </c>
      <c r="I93" s="439">
        <v>1873.804917055214</v>
      </c>
      <c r="J93" s="509">
        <f t="shared" si="15"/>
        <v>1.873804917055214</v>
      </c>
      <c r="K93" s="617">
        <v>0.36432949880797777</v>
      </c>
      <c r="L93" s="439">
        <v>0.92070101554378858</v>
      </c>
      <c r="M93" s="726">
        <v>35.389494050063917</v>
      </c>
      <c r="N93" s="726">
        <v>25.266955407939697</v>
      </c>
      <c r="O93" s="726">
        <v>6.2616571486554289</v>
      </c>
      <c r="P93" s="726">
        <v>0.8920390197874728</v>
      </c>
      <c r="Q93" s="727">
        <v>2.8661995756315766E-2</v>
      </c>
    </row>
    <row r="94" spans="1:45">
      <c r="A94" s="974"/>
      <c r="B94" s="974"/>
      <c r="C94" s="974"/>
      <c r="D94" s="434"/>
      <c r="E94" s="440">
        <v>269</v>
      </c>
      <c r="F94" s="438"/>
      <c r="G94" s="438"/>
      <c r="H94" s="439">
        <v>6.8792797812743354</v>
      </c>
      <c r="I94" s="439">
        <v>1849.8554602457864</v>
      </c>
      <c r="J94" s="509">
        <f t="shared" si="15"/>
        <v>1.8498554602457864</v>
      </c>
      <c r="K94" s="617">
        <v>0.70130865813513099</v>
      </c>
      <c r="L94" s="439">
        <v>0.16187641884023085</v>
      </c>
      <c r="M94" s="726">
        <v>33.519365387273936</v>
      </c>
      <c r="N94" s="726">
        <v>24.297687728539067</v>
      </c>
      <c r="O94" s="726">
        <v>6.8069290134743516</v>
      </c>
      <c r="P94" s="726">
        <v>6.4574126466084569E-2</v>
      </c>
      <c r="Q94" s="727">
        <v>9.7302292374146296E-2</v>
      </c>
    </row>
    <row r="95" spans="1:45">
      <c r="A95" s="974"/>
      <c r="B95" s="974"/>
      <c r="C95" s="974"/>
      <c r="D95" s="434"/>
      <c r="E95" s="440">
        <v>270</v>
      </c>
      <c r="F95" s="438"/>
      <c r="G95" s="438"/>
      <c r="H95" s="439">
        <v>9.4275650872215326</v>
      </c>
      <c r="I95" s="439">
        <v>1547.3898352577899</v>
      </c>
      <c r="J95" s="509">
        <f t="shared" si="15"/>
        <v>1.5473898352577899</v>
      </c>
      <c r="K95" s="617">
        <v>1.841127836342239</v>
      </c>
      <c r="L95" s="439">
        <v>0.49426673345319788</v>
      </c>
      <c r="M95" s="726">
        <v>31.461213268010333</v>
      </c>
      <c r="N95" s="726">
        <v>21.802653053970907</v>
      </c>
      <c r="O95" s="726">
        <v>11.228195375286825</v>
      </c>
      <c r="P95" s="726">
        <v>0.43872260207625363</v>
      </c>
      <c r="Q95" s="727">
        <v>5.5544131376944243E-2</v>
      </c>
    </row>
    <row r="96" spans="1:45">
      <c r="A96" s="974"/>
      <c r="B96" s="974"/>
      <c r="C96" s="974"/>
      <c r="D96" s="434"/>
      <c r="E96" s="440">
        <v>286</v>
      </c>
      <c r="F96" s="438"/>
      <c r="G96" s="438"/>
      <c r="H96" s="439">
        <v>18.503990482849947</v>
      </c>
      <c r="I96" s="439">
        <v>339.04407121486275</v>
      </c>
      <c r="J96" s="509">
        <f t="shared" si="15"/>
        <v>0.33904407121486274</v>
      </c>
      <c r="K96" s="617">
        <v>4.3657313037493637</v>
      </c>
      <c r="L96" s="439">
        <v>0.2991346799045968</v>
      </c>
      <c r="M96" s="726">
        <v>20.158609226376807</v>
      </c>
      <c r="N96" s="726">
        <v>7.9594485582934444</v>
      </c>
      <c r="O96" s="726">
        <v>22.122635491185246</v>
      </c>
      <c r="P96" s="726">
        <v>0.21128545933919235</v>
      </c>
      <c r="Q96" s="727">
        <v>8.7849220565404437E-2</v>
      </c>
    </row>
    <row r="97" spans="1:58">
      <c r="A97" s="974"/>
      <c r="B97" s="974"/>
      <c r="C97" s="974"/>
      <c r="D97" s="434"/>
      <c r="E97" s="441">
        <v>271</v>
      </c>
      <c r="F97" s="438"/>
      <c r="G97" s="438"/>
      <c r="H97" s="439">
        <v>5.3600145374878876</v>
      </c>
      <c r="I97" s="439">
        <v>1727.5235018019621</v>
      </c>
      <c r="J97" s="509">
        <f t="shared" si="15"/>
        <v>1.7275235018019621</v>
      </c>
      <c r="K97" s="617">
        <v>0.70875165547418784</v>
      </c>
      <c r="L97" s="439">
        <v>0.738390164067383</v>
      </c>
      <c r="M97" s="726">
        <v>31.960221457070045</v>
      </c>
      <c r="N97" s="726">
        <v>22.16117580772303</v>
      </c>
      <c r="O97" s="726">
        <v>13.484359036777885</v>
      </c>
      <c r="P97" s="726">
        <v>0.62196100938519616</v>
      </c>
      <c r="Q97" s="727">
        <v>0.11642915468218686</v>
      </c>
    </row>
    <row r="98" spans="1:58">
      <c r="A98" s="974"/>
      <c r="B98" s="974"/>
      <c r="C98" s="974"/>
      <c r="D98" s="434"/>
      <c r="E98" s="442">
        <v>272</v>
      </c>
      <c r="F98" s="438"/>
      <c r="G98" s="438"/>
      <c r="H98" s="439">
        <v>4.7606429489477193</v>
      </c>
      <c r="I98" s="439">
        <v>1943.2646031262329</v>
      </c>
      <c r="J98" s="509">
        <f t="shared" si="15"/>
        <v>1.9432646031262328</v>
      </c>
      <c r="K98" s="617">
        <v>0.32839994013243484</v>
      </c>
      <c r="L98" s="439">
        <v>0.35658717693027792</v>
      </c>
      <c r="M98" s="726">
        <v>35.236454967082068</v>
      </c>
      <c r="N98" s="726">
        <v>26.362498827686327</v>
      </c>
      <c r="O98" s="726">
        <v>6.8380787186964413</v>
      </c>
      <c r="P98" s="726">
        <v>0.33727556354168747</v>
      </c>
      <c r="Q98" s="727">
        <v>1.9311613388590432E-2</v>
      </c>
    </row>
    <row r="99" spans="1:58">
      <c r="A99" s="974"/>
      <c r="B99" s="974"/>
      <c r="C99" s="974"/>
      <c r="D99" s="434"/>
      <c r="E99" s="442">
        <v>273</v>
      </c>
      <c r="F99" s="438"/>
      <c r="G99" s="438"/>
      <c r="H99" s="439">
        <v>3.5991526498214603</v>
      </c>
      <c r="I99" s="439">
        <v>1848.7725958095343</v>
      </c>
      <c r="J99" s="509">
        <f t="shared" si="15"/>
        <v>1.8487725958095342</v>
      </c>
      <c r="K99" s="617">
        <v>0.29175737886807313</v>
      </c>
      <c r="L99" s="439">
        <v>0.66</v>
      </c>
      <c r="M99" s="726">
        <v>34.316704454616392</v>
      </c>
      <c r="N99" s="726">
        <v>28.5076168760855</v>
      </c>
      <c r="O99" s="726">
        <v>4.219598971183304</v>
      </c>
      <c r="P99" s="726">
        <v>0.65711263450528146</v>
      </c>
      <c r="Q99" s="727" t="s">
        <v>815</v>
      </c>
    </row>
    <row r="100" spans="1:58">
      <c r="A100" s="974"/>
      <c r="B100" s="974"/>
      <c r="C100" s="974"/>
      <c r="D100" s="434"/>
      <c r="E100" s="442">
        <v>292</v>
      </c>
      <c r="F100" s="438"/>
      <c r="G100" s="438"/>
      <c r="H100" s="439">
        <v>20.913487735796593</v>
      </c>
      <c r="I100" s="439">
        <v>493.08074520389727</v>
      </c>
      <c r="J100" s="509">
        <f t="shared" si="15"/>
        <v>0.49308074520389727</v>
      </c>
      <c r="K100" s="617">
        <v>1.0407929247212646</v>
      </c>
      <c r="L100" s="439">
        <v>0.7841682263385179</v>
      </c>
      <c r="M100" s="726">
        <v>18.205716812407783</v>
      </c>
      <c r="N100" s="726">
        <v>9.3165502452019808</v>
      </c>
      <c r="O100" s="726">
        <v>17.853980431450623</v>
      </c>
      <c r="P100" s="726">
        <v>0.73093949764023913</v>
      </c>
      <c r="Q100" s="727">
        <v>5.3228728698278722E-2</v>
      </c>
    </row>
    <row r="101" spans="1:58">
      <c r="A101" s="974"/>
      <c r="B101" s="974"/>
      <c r="C101" s="974"/>
      <c r="D101" s="434"/>
      <c r="E101" s="442">
        <v>293</v>
      </c>
      <c r="F101" s="438"/>
      <c r="G101" s="438"/>
      <c r="H101" s="439">
        <v>15.545618597483116</v>
      </c>
      <c r="I101" s="439">
        <v>574.28746707157404</v>
      </c>
      <c r="J101" s="509">
        <f t="shared" si="15"/>
        <v>0.57428746707157408</v>
      </c>
      <c r="K101" s="617">
        <v>1.8722081910556512</v>
      </c>
      <c r="L101" s="439">
        <v>1.1437647623588869</v>
      </c>
      <c r="M101" s="726">
        <v>17.4507296395632</v>
      </c>
      <c r="N101" s="726">
        <v>9.5667313515956884</v>
      </c>
      <c r="O101" s="726">
        <v>18.495974960345301</v>
      </c>
      <c r="P101" s="726">
        <v>0.95392412280307637</v>
      </c>
      <c r="Q101" s="727">
        <v>0.18984063955581054</v>
      </c>
    </row>
    <row r="102" spans="1:58">
      <c r="A102" s="974"/>
      <c r="B102" s="974"/>
      <c r="C102" s="974"/>
      <c r="D102" s="434"/>
      <c r="E102" s="442">
        <v>294</v>
      </c>
      <c r="F102" s="438"/>
      <c r="G102" s="438"/>
      <c r="H102" s="439">
        <v>11.670588112074562</v>
      </c>
      <c r="I102" s="439">
        <v>481.18014367348678</v>
      </c>
      <c r="J102" s="509">
        <f t="shared" si="15"/>
        <v>0.48118014367348677</v>
      </c>
      <c r="K102" s="617">
        <v>2.7923952895725064</v>
      </c>
      <c r="L102" s="439">
        <v>1.2382556848978603</v>
      </c>
      <c r="M102" s="726">
        <v>17.295668423503017</v>
      </c>
      <c r="N102" s="726">
        <v>10.747130497137546</v>
      </c>
      <c r="O102" s="726">
        <v>14.887295637641801</v>
      </c>
      <c r="P102" s="726">
        <v>1.18688685517564</v>
      </c>
      <c r="Q102" s="727">
        <v>5.1368829722220309E-2</v>
      </c>
    </row>
    <row r="103" spans="1:58">
      <c r="A103" s="974"/>
      <c r="B103" s="974"/>
      <c r="C103" s="974"/>
      <c r="D103" s="434"/>
      <c r="E103" s="443">
        <v>274</v>
      </c>
      <c r="F103" s="438"/>
      <c r="G103" s="438"/>
      <c r="H103" s="439">
        <v>10.604482804045793</v>
      </c>
      <c r="I103" s="439">
        <v>1181.9983232165071</v>
      </c>
      <c r="J103" s="509">
        <f t="shared" si="15"/>
        <v>1.181998323216507</v>
      </c>
      <c r="K103" s="617">
        <v>1.2089288393502267</v>
      </c>
      <c r="L103" s="439">
        <v>0.72222669192001343</v>
      </c>
      <c r="M103" s="726">
        <v>24.58064299345623</v>
      </c>
      <c r="N103" s="726">
        <v>17.398651054205882</v>
      </c>
      <c r="O103" s="726">
        <v>12.481624507881181</v>
      </c>
      <c r="P103" s="726">
        <v>0.68840518478774992</v>
      </c>
      <c r="Q103" s="727">
        <v>3.3821507132263472E-2</v>
      </c>
    </row>
    <row r="104" spans="1:58">
      <c r="D104" s="434"/>
      <c r="E104" s="444">
        <v>275</v>
      </c>
      <c r="F104" s="438"/>
      <c r="G104" s="438"/>
      <c r="H104" s="439">
        <v>12.178394400245841</v>
      </c>
      <c r="I104" s="439">
        <v>365.61080513255541</v>
      </c>
      <c r="J104" s="509">
        <f t="shared" si="15"/>
        <v>0.36561080513255539</v>
      </c>
      <c r="K104" s="617">
        <v>4.4694784468802666</v>
      </c>
      <c r="L104" s="439">
        <v>8.5704725875222751E-2</v>
      </c>
      <c r="M104" s="726">
        <v>16.466004701318028</v>
      </c>
      <c r="N104" s="726">
        <v>11.649270744548858</v>
      </c>
      <c r="O104" s="726">
        <v>18.796889911206705</v>
      </c>
      <c r="P104" s="726">
        <v>4.3188034770227444E-2</v>
      </c>
      <c r="Q104" s="727">
        <v>4.2516691104995306E-2</v>
      </c>
    </row>
    <row r="105" spans="1:58">
      <c r="D105" s="434"/>
      <c r="E105" s="444">
        <v>276</v>
      </c>
      <c r="F105" s="438"/>
      <c r="G105" s="438"/>
      <c r="H105" s="439">
        <v>5.8471379908825005</v>
      </c>
      <c r="I105" s="439">
        <v>696.10906612715939</v>
      </c>
      <c r="J105" s="509">
        <f t="shared" si="15"/>
        <v>0.69610906612715939</v>
      </c>
      <c r="K105" s="617">
        <v>0.73233880945357932</v>
      </c>
      <c r="L105" s="439">
        <v>0.02</v>
      </c>
      <c r="M105" s="726">
        <v>14.121678633123116</v>
      </c>
      <c r="N105" s="726">
        <v>11.492318473018427</v>
      </c>
      <c r="O105" s="726">
        <v>8.8206113168153308</v>
      </c>
      <c r="P105" s="726">
        <v>0.97718697143842759</v>
      </c>
      <c r="Q105" s="727" t="s">
        <v>815</v>
      </c>
    </row>
    <row r="106" spans="1:58">
      <c r="D106" s="434"/>
      <c r="E106" s="444">
        <v>277</v>
      </c>
      <c r="F106" s="438"/>
      <c r="G106" s="438"/>
      <c r="H106" s="439">
        <v>10.377677079929192</v>
      </c>
      <c r="I106" s="439">
        <v>282.20269542143376</v>
      </c>
      <c r="J106" s="509">
        <f t="shared" si="15"/>
        <v>0.28220269542143378</v>
      </c>
      <c r="K106" s="617">
        <v>5.2971784954195043</v>
      </c>
      <c r="L106" s="439">
        <v>0.63485820544136307</v>
      </c>
      <c r="M106" s="726">
        <v>14.37243688638244</v>
      </c>
      <c r="N106" s="726">
        <v>11.231394890430682</v>
      </c>
      <c r="O106" s="726">
        <v>28.062693508712098</v>
      </c>
      <c r="P106" s="726">
        <v>0.53746175784083827</v>
      </c>
      <c r="Q106" s="727">
        <v>9.7396447600524821E-2</v>
      </c>
      <c r="W106" s="453"/>
      <c r="Y106" s="453"/>
      <c r="Z106" s="453"/>
      <c r="AA106" s="453"/>
      <c r="AB106" s="453"/>
      <c r="AD106" s="453"/>
      <c r="AE106" s="453"/>
      <c r="AF106" s="453"/>
      <c r="AI106" s="453"/>
      <c r="AJ106" s="453"/>
      <c r="AL106" s="453"/>
      <c r="AN106" s="453"/>
      <c r="AP106" s="453"/>
      <c r="BC106" s="453"/>
      <c r="BD106" s="453"/>
      <c r="BE106" s="453"/>
      <c r="BF106" s="568"/>
    </row>
    <row r="107" spans="1:58">
      <c r="D107" s="434"/>
      <c r="E107" s="444">
        <v>278</v>
      </c>
      <c r="F107" s="438"/>
      <c r="G107" s="438"/>
      <c r="H107" s="439">
        <v>9.6054161164914795</v>
      </c>
      <c r="I107" s="439">
        <v>402.8027939485209</v>
      </c>
      <c r="J107" s="509">
        <f t="shared" si="15"/>
        <v>0.40280279394852092</v>
      </c>
      <c r="K107" s="617">
        <v>2.552804021941685</v>
      </c>
      <c r="L107" s="439">
        <v>0.3904866974115167</v>
      </c>
      <c r="M107" s="726">
        <v>17.063596540993327</v>
      </c>
      <c r="N107" s="726">
        <v>13.284935496689306</v>
      </c>
      <c r="O107" s="726">
        <v>17.79735963130728</v>
      </c>
      <c r="P107" s="726">
        <v>0.30776671637729602</v>
      </c>
      <c r="Q107" s="727">
        <v>8.2719981034220694E-2</v>
      </c>
      <c r="U107" s="292"/>
      <c r="V107" s="292"/>
      <c r="W107" s="292"/>
      <c r="Y107" s="435"/>
      <c r="Z107" s="435"/>
      <c r="AA107" s="435"/>
      <c r="AB107" s="435"/>
      <c r="AD107" s="435"/>
      <c r="AE107" s="435"/>
      <c r="AF107" s="435"/>
      <c r="AI107" s="292"/>
      <c r="AJ107" s="292"/>
      <c r="AL107" s="292"/>
      <c r="AN107" s="292"/>
      <c r="AP107" s="292"/>
      <c r="BC107" s="292"/>
      <c r="BD107" s="292"/>
      <c r="BE107" s="292"/>
      <c r="BF107" s="292"/>
    </row>
    <row r="108" spans="1:58">
      <c r="D108" s="434"/>
      <c r="E108" s="445">
        <v>291</v>
      </c>
      <c r="F108" s="438"/>
      <c r="G108" s="438"/>
      <c r="H108" s="439">
        <v>16.717178146707443</v>
      </c>
      <c r="I108" s="439">
        <v>426.42994980942973</v>
      </c>
      <c r="J108" s="509">
        <f t="shared" si="15"/>
        <v>0.42642994980942972</v>
      </c>
      <c r="K108" s="617">
        <v>2.2926982938080522</v>
      </c>
      <c r="L108" s="439">
        <v>0.9963669635352882</v>
      </c>
      <c r="M108" s="726">
        <v>16.401450659889644</v>
      </c>
      <c r="N108" s="726">
        <v>9.7918698689682131</v>
      </c>
      <c r="O108" s="726">
        <v>18.366648520390068</v>
      </c>
      <c r="P108" s="726">
        <v>0.88646890527881306</v>
      </c>
      <c r="Q108" s="727">
        <v>0.10989805825647518</v>
      </c>
      <c r="U108" s="292"/>
      <c r="V108" s="292"/>
      <c r="W108" s="292"/>
      <c r="Y108" s="292"/>
      <c r="Z108" s="292"/>
      <c r="AA108" s="292"/>
      <c r="AB108" s="292"/>
      <c r="AD108" s="292"/>
      <c r="AE108" s="292"/>
      <c r="AF108" s="292"/>
      <c r="AI108" s="292"/>
      <c r="AJ108" s="292"/>
      <c r="AL108" s="292"/>
      <c r="AN108" s="292"/>
      <c r="AP108" s="292"/>
      <c r="BC108" s="292"/>
      <c r="BD108" s="292"/>
      <c r="BE108" s="292"/>
      <c r="BF108" s="292"/>
    </row>
    <row r="109" spans="1:58">
      <c r="D109" s="434"/>
      <c r="E109" s="446">
        <v>284</v>
      </c>
      <c r="F109" s="447"/>
      <c r="G109" s="447"/>
      <c r="H109" s="448">
        <v>27.113350199688281</v>
      </c>
      <c r="I109" s="448">
        <v>312.19084182661345</v>
      </c>
      <c r="J109" s="510">
        <f t="shared" si="15"/>
        <v>0.31219084182661344</v>
      </c>
      <c r="K109" s="618">
        <v>10.290115744683213</v>
      </c>
      <c r="L109" s="448">
        <v>1.1736216190062432</v>
      </c>
      <c r="M109" s="683">
        <v>11.503861508750083</v>
      </c>
      <c r="N109" s="683">
        <v>6.6785013298113931</v>
      </c>
      <c r="O109" s="683">
        <v>16.445943526386632</v>
      </c>
      <c r="P109" s="683">
        <v>0.47779153885528641</v>
      </c>
      <c r="Q109" s="684">
        <v>0.69583008015095682</v>
      </c>
      <c r="U109" s="292"/>
      <c r="V109" s="292"/>
      <c r="W109" s="292"/>
      <c r="Y109" s="292"/>
      <c r="Z109" s="292"/>
      <c r="AA109" s="292"/>
      <c r="AB109" s="292"/>
      <c r="AD109" s="292"/>
      <c r="AE109" s="292"/>
      <c r="AF109" s="292"/>
      <c r="AI109" s="292"/>
      <c r="AJ109" s="292"/>
      <c r="AL109" s="292"/>
      <c r="AN109" s="292"/>
      <c r="AP109" s="292"/>
      <c r="BC109" s="292"/>
      <c r="BD109" s="292"/>
      <c r="BE109" s="292"/>
      <c r="BF109" s="292"/>
    </row>
    <row r="110" spans="1:58">
      <c r="D110" s="434"/>
      <c r="E110" s="446">
        <v>285</v>
      </c>
      <c r="F110" s="447"/>
      <c r="G110" s="447"/>
      <c r="H110" s="448">
        <v>25.2826232411768</v>
      </c>
      <c r="I110" s="448">
        <v>302.9314556576831</v>
      </c>
      <c r="J110" s="510">
        <f t="shared" si="15"/>
        <v>0.30293145565768309</v>
      </c>
      <c r="K110" s="618">
        <v>2.1104545455469426</v>
      </c>
      <c r="L110" s="448">
        <v>4.5664357281438347E-2</v>
      </c>
      <c r="M110" s="683">
        <v>17.435395267826713</v>
      </c>
      <c r="N110" s="683">
        <v>7.4950881892126047</v>
      </c>
      <c r="O110" s="683">
        <v>17.054225419829223</v>
      </c>
      <c r="P110" s="683" t="s">
        <v>815</v>
      </c>
      <c r="Q110" s="684">
        <v>4.5664357281438347E-2</v>
      </c>
    </row>
    <row r="111" spans="1:58">
      <c r="D111" s="434"/>
      <c r="E111" s="446">
        <v>288</v>
      </c>
      <c r="F111" s="447"/>
      <c r="G111" s="447"/>
      <c r="H111" s="448">
        <v>13.074335564596586</v>
      </c>
      <c r="I111" s="448">
        <v>264.02869420081083</v>
      </c>
      <c r="J111" s="510">
        <f t="shared" si="15"/>
        <v>0.26402869420081082</v>
      </c>
      <c r="K111" s="618">
        <v>0.60197738226824726</v>
      </c>
      <c r="L111" s="448">
        <v>1.2641849465376398</v>
      </c>
      <c r="M111" s="683">
        <v>9.4542725985367362</v>
      </c>
      <c r="N111" s="683">
        <v>5.8240513884274678</v>
      </c>
      <c r="O111" s="683">
        <v>44.020932971168335</v>
      </c>
      <c r="P111" s="683">
        <v>1.2641849465376398</v>
      </c>
      <c r="Q111" s="684" t="s">
        <v>815</v>
      </c>
    </row>
    <row r="112" spans="1:58">
      <c r="D112" s="434"/>
      <c r="E112" s="446">
        <v>289</v>
      </c>
      <c r="F112" s="447"/>
      <c r="G112" s="447"/>
      <c r="H112" s="448">
        <v>30.596341253027585</v>
      </c>
      <c r="I112" s="448">
        <v>298.5570962356482</v>
      </c>
      <c r="J112" s="510">
        <f t="shared" si="15"/>
        <v>0.29855709623564819</v>
      </c>
      <c r="K112" s="618">
        <v>2.3677612338070881</v>
      </c>
      <c r="L112" s="448">
        <v>0.69242937301255514</v>
      </c>
      <c r="M112" s="683">
        <v>13.005810708627868</v>
      </c>
      <c r="N112" s="683">
        <v>6.4339660365148221</v>
      </c>
      <c r="O112" s="683">
        <v>13.290071072830086</v>
      </c>
      <c r="P112" s="683">
        <v>0.67437026677709466</v>
      </c>
      <c r="Q112" s="684">
        <v>1.8059106235460448E-2</v>
      </c>
    </row>
    <row r="113" spans="4:17">
      <c r="D113" s="434"/>
      <c r="E113" s="446">
        <v>290</v>
      </c>
      <c r="F113" s="447"/>
      <c r="G113" s="447"/>
      <c r="H113" s="448">
        <v>39.70927382323147</v>
      </c>
      <c r="I113" s="448">
        <v>209.16204901779136</v>
      </c>
      <c r="J113" s="510">
        <f t="shared" si="15"/>
        <v>0.20916204901779137</v>
      </c>
      <c r="K113" s="618">
        <v>2.9778195283764228</v>
      </c>
      <c r="L113" s="448">
        <v>0.13551743146577089</v>
      </c>
      <c r="M113" s="683">
        <v>10.848467532010233</v>
      </c>
      <c r="N113" s="683">
        <v>6.5081241951252462</v>
      </c>
      <c r="O113" s="683">
        <v>17.668834393869041</v>
      </c>
      <c r="P113" s="683">
        <v>0.11229805533215639</v>
      </c>
      <c r="Q113" s="684">
        <v>2.3219376133614491E-2</v>
      </c>
    </row>
    <row r="114" spans="4:17">
      <c r="E114" s="506">
        <v>259</v>
      </c>
      <c r="F114" s="507"/>
      <c r="G114" s="507"/>
      <c r="H114" s="510">
        <v>28.537258273840838</v>
      </c>
      <c r="I114" s="510">
        <v>16.36783936424256</v>
      </c>
      <c r="J114" s="510">
        <f>I114/1000</f>
        <v>1.6367839364242558E-2</v>
      </c>
      <c r="K114" s="619">
        <v>2.2594699840858361</v>
      </c>
      <c r="L114" s="510"/>
      <c r="M114" s="709">
        <v>15.386754053779157</v>
      </c>
      <c r="N114" s="709">
        <v>2.9620032382670631</v>
      </c>
      <c r="O114" s="709">
        <v>35.226703728383178</v>
      </c>
      <c r="P114" s="709" t="s">
        <v>815</v>
      </c>
      <c r="Q114" s="710" t="s">
        <v>815</v>
      </c>
    </row>
    <row r="115" spans="4:17">
      <c r="E115" s="292"/>
      <c r="M115" s="449"/>
      <c r="N115" s="449"/>
    </row>
    <row r="116" spans="4:17">
      <c r="E116" s="292"/>
      <c r="M116" s="449"/>
      <c r="N116" s="449"/>
    </row>
    <row r="117" spans="4:17">
      <c r="D117" s="434"/>
      <c r="E117" s="850">
        <v>279</v>
      </c>
      <c r="F117" s="851"/>
      <c r="G117" s="851"/>
      <c r="H117" s="852">
        <v>19.327085572724044</v>
      </c>
      <c r="I117" s="852">
        <v>623.10326608888658</v>
      </c>
      <c r="J117" s="851">
        <f>I117/1000</f>
        <v>0.62310326608888655</v>
      </c>
      <c r="K117" s="853">
        <v>1.2458824435958953</v>
      </c>
      <c r="L117" s="852">
        <v>0.66683256478131647</v>
      </c>
      <c r="M117" s="853">
        <v>18.179399815384222</v>
      </c>
      <c r="N117" s="664">
        <v>8.0418225355098212</v>
      </c>
      <c r="O117" s="664">
        <v>14.385978026047599</v>
      </c>
      <c r="P117" s="664">
        <v>0.5140613199670605</v>
      </c>
      <c r="Q117" s="665">
        <v>0.152771244814256</v>
      </c>
    </row>
    <row r="118" spans="4:17">
      <c r="D118" s="434"/>
      <c r="E118" s="850">
        <v>280</v>
      </c>
      <c r="F118" s="851"/>
      <c r="G118" s="851"/>
      <c r="H118" s="852">
        <v>18.237718914204347</v>
      </c>
      <c r="I118" s="852">
        <v>592.98609824225207</v>
      </c>
      <c r="J118" s="851">
        <f t="shared" ref="J118:J121" si="16">I118/1000</f>
        <v>0.59298609824225212</v>
      </c>
      <c r="K118" s="853">
        <v>1.4095008479901971</v>
      </c>
      <c r="L118" s="852">
        <v>0.65865229393902336</v>
      </c>
      <c r="M118" s="853">
        <v>16.880645476196243</v>
      </c>
      <c r="N118" s="664">
        <v>8.194791160746334</v>
      </c>
      <c r="O118" s="664">
        <v>16.393410690396962</v>
      </c>
      <c r="P118" s="664">
        <v>0.43435785123080972</v>
      </c>
      <c r="Q118" s="665">
        <v>0.22429444270821364</v>
      </c>
    </row>
    <row r="119" spans="4:17">
      <c r="D119" s="434"/>
      <c r="E119" s="850">
        <v>281</v>
      </c>
      <c r="F119" s="851"/>
      <c r="G119" s="851"/>
      <c r="H119" s="852">
        <v>10.961437534533511</v>
      </c>
      <c r="I119" s="852">
        <v>409.14357347425369</v>
      </c>
      <c r="J119" s="851">
        <f t="shared" si="16"/>
        <v>0.40914357347425367</v>
      </c>
      <c r="K119" s="853">
        <v>0.89891626068185859</v>
      </c>
      <c r="L119" s="852">
        <v>4.0348350367044707</v>
      </c>
      <c r="M119" s="853">
        <v>20.267900414022272</v>
      </c>
      <c r="N119" s="664">
        <v>10.803517196241295</v>
      </c>
      <c r="O119" s="664">
        <v>15.359918218194206</v>
      </c>
      <c r="P119" s="664">
        <v>2.3082079674078724</v>
      </c>
      <c r="Q119" s="665">
        <v>1.7266270692965981</v>
      </c>
    </row>
    <row r="120" spans="4:17">
      <c r="D120" s="434"/>
      <c r="E120" s="850">
        <v>282</v>
      </c>
      <c r="F120" s="851"/>
      <c r="G120" s="851"/>
      <c r="H120" s="852">
        <v>14.236597609690312</v>
      </c>
      <c r="I120" s="852">
        <v>429.91106011762633</v>
      </c>
      <c r="J120" s="851">
        <f t="shared" si="16"/>
        <v>0.42991106011762631</v>
      </c>
      <c r="K120" s="853">
        <v>1.2020355520128392</v>
      </c>
      <c r="L120" s="852">
        <v>0.79293080223136458</v>
      </c>
      <c r="M120" s="853">
        <v>19.892546415846581</v>
      </c>
      <c r="N120" s="664">
        <v>11.945985532426635</v>
      </c>
      <c r="O120" s="664">
        <v>15.732552103737753</v>
      </c>
      <c r="P120" s="664">
        <v>0.44483930741444566</v>
      </c>
      <c r="Q120" s="665">
        <v>0.34809149481691887</v>
      </c>
    </row>
    <row r="121" spans="4:17">
      <c r="D121" s="434"/>
      <c r="E121" s="850">
        <v>283</v>
      </c>
      <c r="F121" s="851"/>
      <c r="G121" s="851"/>
      <c r="H121" s="852">
        <v>14.925096034778202</v>
      </c>
      <c r="I121" s="852">
        <v>628.61220663459596</v>
      </c>
      <c r="J121" s="851">
        <f t="shared" si="16"/>
        <v>0.62861220663459594</v>
      </c>
      <c r="K121" s="853">
        <v>0.71142086844353769</v>
      </c>
      <c r="L121" s="852">
        <v>0.89768067672932172</v>
      </c>
      <c r="M121" s="853">
        <v>22.452762591240813</v>
      </c>
      <c r="N121" s="664">
        <v>10.766869190336246</v>
      </c>
      <c r="O121" s="664">
        <v>23.269960843530949</v>
      </c>
      <c r="P121" s="664">
        <v>0.45591483672802074</v>
      </c>
      <c r="Q121" s="665">
        <v>0.44176584000130104</v>
      </c>
    </row>
    <row r="122" spans="4:17">
      <c r="D122" s="858"/>
      <c r="E122" s="854">
        <v>300</v>
      </c>
      <c r="F122" s="851"/>
      <c r="G122" s="851"/>
      <c r="H122" s="855">
        <v>13.29874075605403</v>
      </c>
      <c r="I122" s="856">
        <v>222.05819825853851</v>
      </c>
      <c r="J122" s="851">
        <f>I122/1000</f>
        <v>0.22205819825853851</v>
      </c>
      <c r="K122" s="857">
        <v>0.63351532825894796</v>
      </c>
      <c r="L122" s="852">
        <v>0.18476373797015666</v>
      </c>
      <c r="M122" s="857">
        <v>30.636058320633584</v>
      </c>
      <c r="N122" s="721">
        <v>14.439277360659814</v>
      </c>
      <c r="O122" s="721">
        <v>28.723069769557501</v>
      </c>
      <c r="P122" s="721">
        <v>6.2193239906560352E-2</v>
      </c>
      <c r="Q122" s="722">
        <v>0.12257049806359629</v>
      </c>
    </row>
    <row r="123" spans="4:17">
      <c r="E123" s="292"/>
      <c r="M123" s="449"/>
      <c r="N123" s="449"/>
    </row>
    <row r="124" spans="4:17">
      <c r="E124" s="292"/>
      <c r="H124" s="292" t="s">
        <v>862</v>
      </c>
      <c r="I124" s="292" t="s">
        <v>863</v>
      </c>
      <c r="J124" s="292" t="s">
        <v>864</v>
      </c>
      <c r="K124" s="292" t="s">
        <v>865</v>
      </c>
      <c r="L124" s="292" t="s">
        <v>866</v>
      </c>
      <c r="M124" s="287" t="s">
        <v>867</v>
      </c>
      <c r="N124" s="287" t="s">
        <v>868</v>
      </c>
      <c r="O124" s="287" t="s">
        <v>869</v>
      </c>
      <c r="P124" s="287" t="s">
        <v>806</v>
      </c>
      <c r="Q124" s="287" t="s">
        <v>809</v>
      </c>
    </row>
    <row r="125" spans="4:17">
      <c r="D125" s="859" t="s">
        <v>705</v>
      </c>
      <c r="E125" s="300"/>
      <c r="H125" s="436" t="s">
        <v>762</v>
      </c>
      <c r="I125" s="436" t="s">
        <v>763</v>
      </c>
      <c r="J125" s="508">
        <v>0.03</v>
      </c>
      <c r="K125" s="436" t="s">
        <v>764</v>
      </c>
      <c r="L125" s="436" t="s">
        <v>765</v>
      </c>
      <c r="M125" s="449"/>
      <c r="N125" s="449"/>
    </row>
    <row r="126" spans="4:17" ht="14.25">
      <c r="D126" s="251" t="s">
        <v>268</v>
      </c>
      <c r="E126" s="251" t="s">
        <v>440</v>
      </c>
      <c r="H126" s="471">
        <f>MEDIAN(H90:H96)</f>
        <v>6.8792797812743354</v>
      </c>
      <c r="I126" s="471">
        <f t="shared" ref="I126" si="17">MEDIAN(I90:I96)</f>
        <v>1754.382955361398</v>
      </c>
      <c r="J126" s="471">
        <f t="shared" ref="J126" si="18">MEDIAN(J90:J96)</f>
        <v>1.7543829553613981</v>
      </c>
      <c r="K126" s="471">
        <f>MEDIAN(K90:K96)</f>
        <v>0.70130865813513099</v>
      </c>
      <c r="L126" s="471">
        <f>MEDIAN(L90:L96)</f>
        <v>0.38862129260121869</v>
      </c>
      <c r="M126" s="471">
        <f>MEDIAN(M90:M96)</f>
        <v>32.960110279225482</v>
      </c>
      <c r="N126" s="471">
        <f t="shared" ref="N126:Q126" si="19">MEDIAN(N90:N96)</f>
        <v>23.793922602222111</v>
      </c>
      <c r="O126" s="471">
        <f>MEDIAN(O90:O96)</f>
        <v>9.2797688444048134</v>
      </c>
      <c r="P126" s="471">
        <f t="shared" si="19"/>
        <v>0.36349779508404556</v>
      </c>
      <c r="Q126" s="471">
        <f t="shared" si="19"/>
        <v>2.8661995756315766E-2</v>
      </c>
    </row>
    <row r="127" spans="4:17" ht="14.25">
      <c r="D127" s="251"/>
      <c r="E127" s="251" t="s">
        <v>258</v>
      </c>
      <c r="H127" s="471">
        <f>MEDIAN(H97:H102)</f>
        <v>8.515301324781225</v>
      </c>
      <c r="I127" s="471">
        <f t="shared" ref="I127" si="20">MEDIAN(I97:I102)</f>
        <v>1150.9054844367679</v>
      </c>
      <c r="J127" s="471">
        <f t="shared" ref="J127" si="21">MEDIAN(J97:J102)</f>
        <v>1.1509054844367681</v>
      </c>
      <c r="K127" s="471">
        <f>MEDIAN(K97:K102)</f>
        <v>0.87477229009772617</v>
      </c>
      <c r="L127" s="471">
        <f>MEDIAN(L97:L102)</f>
        <v>0.76127919520295051</v>
      </c>
      <c r="M127" s="471">
        <f t="shared" ref="M127:Q127" si="22">MEDIAN(M97:M102)</f>
        <v>25.082969134738914</v>
      </c>
      <c r="N127" s="471">
        <f t="shared" si="22"/>
        <v>16.454153152430287</v>
      </c>
      <c r="O127" s="471">
        <f t="shared" si="22"/>
        <v>14.185827337209844</v>
      </c>
      <c r="P127" s="471">
        <f t="shared" si="22"/>
        <v>0.69402606607276029</v>
      </c>
      <c r="Q127" s="471">
        <f t="shared" si="22"/>
        <v>5.3228728698278722E-2</v>
      </c>
    </row>
    <row r="128" spans="4:17" ht="14.25">
      <c r="D128" s="251"/>
      <c r="E128" s="251" t="s">
        <v>509</v>
      </c>
      <c r="H128" s="471">
        <f>MEDIAN(H103:H108)</f>
        <v>10.491079941987493</v>
      </c>
      <c r="I128" s="471">
        <f t="shared" ref="I128" si="23">MEDIAN(I103:I108)</f>
        <v>414.61637187897531</v>
      </c>
      <c r="J128" s="471">
        <f t="shared" ref="J128" si="24">MEDIAN(J103:J108)</f>
        <v>0.41461637187897532</v>
      </c>
      <c r="K128" s="471">
        <f>MEDIAN(K103:K108)</f>
        <v>2.4227511578748686</v>
      </c>
      <c r="L128" s="471">
        <f>MEDIAN(L103:L108)</f>
        <v>0.51267245142643991</v>
      </c>
      <c r="M128" s="471">
        <f t="shared" ref="M128:Q128" si="25">MEDIAN(M103:M108)</f>
        <v>16.433727680603837</v>
      </c>
      <c r="N128" s="471">
        <f t="shared" si="25"/>
        <v>11.570794608783643</v>
      </c>
      <c r="O128" s="471">
        <f t="shared" si="25"/>
        <v>18.082004075848673</v>
      </c>
      <c r="P128" s="471">
        <f t="shared" si="25"/>
        <v>0.6129334713142941</v>
      </c>
      <c r="Q128" s="471">
        <f t="shared" si="25"/>
        <v>8.2719981034220694E-2</v>
      </c>
    </row>
    <row r="129" spans="4:17" ht="14.25">
      <c r="D129" s="251"/>
      <c r="E129" s="251" t="s">
        <v>2</v>
      </c>
      <c r="H129" s="471">
        <f>MEDIAN(H117:H122)</f>
        <v>14.580846822234257</v>
      </c>
      <c r="I129" s="471">
        <f>MEDIAN(I117:I122)</f>
        <v>511.4485791799392</v>
      </c>
      <c r="J129" s="471">
        <f>MEDIAN(J117:J122)</f>
        <v>0.51144857917993924</v>
      </c>
      <c r="K129" s="471">
        <f>MEDIAN(K117:K122)</f>
        <v>1.0504759063473488</v>
      </c>
      <c r="L129" s="471">
        <f>MEDIAN(L117:L122)</f>
        <v>0.72988168350634053</v>
      </c>
      <c r="M129" s="471">
        <f t="shared" ref="M129:Q129" si="26">MEDIAN(M117:M122)</f>
        <v>20.080223414934427</v>
      </c>
      <c r="N129" s="471">
        <f t="shared" si="26"/>
        <v>10.785193193288769</v>
      </c>
      <c r="O129" s="471">
        <f t="shared" si="26"/>
        <v>16.062981397067357</v>
      </c>
      <c r="P129" s="471">
        <f t="shared" si="26"/>
        <v>0.45037707207123323</v>
      </c>
      <c r="Q129" s="471">
        <f t="shared" si="26"/>
        <v>0.28619296876256628</v>
      </c>
    </row>
    <row r="130" spans="4:17" ht="14.25">
      <c r="D130" s="251" t="s">
        <v>510</v>
      </c>
      <c r="E130" s="251" t="s">
        <v>510</v>
      </c>
      <c r="H130" s="471">
        <f>MEDIAN(H109:H114)</f>
        <v>27.825304236764559</v>
      </c>
      <c r="I130" s="471">
        <f>MEDIAN(I109:I114)</f>
        <v>281.29289521822955</v>
      </c>
      <c r="J130" s="471">
        <f>MEDIAN(J109:J114)</f>
        <v>0.28129289521822953</v>
      </c>
      <c r="K130" s="471">
        <f>MEDIAN(K109:K114)</f>
        <v>2.3136156089464621</v>
      </c>
      <c r="L130" s="471">
        <f>MEDIAN(L109:L114)</f>
        <v>0.69242937301255514</v>
      </c>
      <c r="M130" s="471">
        <f t="shared" ref="M130:Q130" si="27">MEDIAN(M109:M114)</f>
        <v>12.254836108688975</v>
      </c>
      <c r="N130" s="471">
        <f t="shared" si="27"/>
        <v>6.4710451158200346</v>
      </c>
      <c r="O130" s="471">
        <f t="shared" si="27"/>
        <v>17.361529906849132</v>
      </c>
      <c r="P130" s="471">
        <f t="shared" si="27"/>
        <v>0.57608090281619051</v>
      </c>
      <c r="Q130" s="471">
        <f t="shared" si="27"/>
        <v>3.4441866707526421E-2</v>
      </c>
    </row>
    <row r="131" spans="4:17" ht="14.25">
      <c r="D131" s="251"/>
      <c r="E131" s="251"/>
      <c r="H131" s="471"/>
      <c r="I131" s="471"/>
      <c r="J131" s="471"/>
      <c r="K131" s="471"/>
      <c r="L131" s="471"/>
      <c r="M131" s="449"/>
      <c r="N131" s="449"/>
    </row>
    <row r="132" spans="4:17">
      <c r="H132" s="292" t="s">
        <v>862</v>
      </c>
      <c r="I132" s="292" t="s">
        <v>863</v>
      </c>
      <c r="J132" s="292" t="s">
        <v>864</v>
      </c>
      <c r="K132" s="292" t="s">
        <v>865</v>
      </c>
      <c r="L132" s="292" t="s">
        <v>866</v>
      </c>
      <c r="M132" s="287" t="s">
        <v>867</v>
      </c>
      <c r="N132" s="287" t="s">
        <v>868</v>
      </c>
      <c r="O132" s="287" t="s">
        <v>869</v>
      </c>
      <c r="P132" s="287" t="s">
        <v>806</v>
      </c>
      <c r="Q132" s="287" t="s">
        <v>809</v>
      </c>
    </row>
    <row r="133" spans="4:17">
      <c r="D133" s="287" t="s">
        <v>711</v>
      </c>
      <c r="H133" s="436" t="s">
        <v>762</v>
      </c>
      <c r="I133" s="436" t="s">
        <v>763</v>
      </c>
      <c r="J133" s="508">
        <v>0.03</v>
      </c>
      <c r="K133" s="436" t="s">
        <v>764</v>
      </c>
      <c r="L133" s="436" t="s">
        <v>765</v>
      </c>
    </row>
    <row r="134" spans="4:17" ht="14.25">
      <c r="D134" s="251" t="s">
        <v>268</v>
      </c>
      <c r="E134" s="251" t="s">
        <v>440</v>
      </c>
      <c r="H134" s="471">
        <f>AVERAGE(H90:H96)</f>
        <v>8.6872537798581568</v>
      </c>
      <c r="I134" s="471">
        <f t="shared" ref="I134:L134" si="28">AVERAGE(I90:I96)</f>
        <v>1495.5939606926113</v>
      </c>
      <c r="J134" s="471">
        <f t="shared" si="28"/>
        <v>1.4955939606926112</v>
      </c>
      <c r="K134" s="471">
        <f t="shared" si="28"/>
        <v>1.4898685932449298</v>
      </c>
      <c r="L134" s="471">
        <f t="shared" si="28"/>
        <v>0.39905939793626211</v>
      </c>
      <c r="M134" s="471">
        <f t="shared" ref="M134:Q134" si="29">AVERAGE(M90:M96)</f>
        <v>31.821780789838837</v>
      </c>
      <c r="N134" s="471">
        <f t="shared" si="29"/>
        <v>21.031124976525593</v>
      </c>
      <c r="O134" s="471">
        <f t="shared" si="29"/>
        <v>11.647231301587388</v>
      </c>
      <c r="P134" s="471">
        <f t="shared" si="29"/>
        <v>0.34914652661442586</v>
      </c>
      <c r="Q134" s="471">
        <f t="shared" si="29"/>
        <v>4.9912871321836291E-2</v>
      </c>
    </row>
    <row r="135" spans="4:17" ht="14.25">
      <c r="D135" s="251"/>
      <c r="E135" s="251" t="s">
        <v>258</v>
      </c>
      <c r="H135" s="471">
        <f>AVERAGE(H97:H102)</f>
        <v>10.308250763601889</v>
      </c>
      <c r="I135" s="471">
        <f t="shared" ref="I135:L135" si="30">AVERAGE(I97:I102)</f>
        <v>1178.0181761144479</v>
      </c>
      <c r="J135" s="471">
        <f t="shared" si="30"/>
        <v>1.1780181761144479</v>
      </c>
      <c r="K135" s="471">
        <f t="shared" si="30"/>
        <v>1.1723842299706864</v>
      </c>
      <c r="L135" s="471">
        <f t="shared" si="30"/>
        <v>0.82019433576548761</v>
      </c>
      <c r="M135" s="471">
        <f>AVERAGE(M97:M102)</f>
        <v>25.744249292373752</v>
      </c>
      <c r="N135" s="471">
        <f t="shared" ref="N135:Q135" si="31">AVERAGE(N97:N102)</f>
        <v>17.776950600905014</v>
      </c>
      <c r="O135" s="471">
        <f t="shared" si="31"/>
        <v>12.62988129268256</v>
      </c>
      <c r="P135" s="471">
        <f t="shared" si="31"/>
        <v>0.74801661384185347</v>
      </c>
      <c r="Q135" s="471">
        <f t="shared" si="31"/>
        <v>8.6035793209417372E-2</v>
      </c>
    </row>
    <row r="136" spans="4:17" ht="14.25">
      <c r="D136" s="251"/>
      <c r="E136" s="251" t="s">
        <v>509</v>
      </c>
      <c r="H136" s="471">
        <f>AVERAGE(H103:H108)</f>
        <v>10.888381089717042</v>
      </c>
      <c r="I136" s="471">
        <f t="shared" ref="I136:L136" si="32">AVERAGE(I103:I108)</f>
        <v>559.19227227593444</v>
      </c>
      <c r="J136" s="471">
        <f t="shared" si="32"/>
        <v>0.55919227227593449</v>
      </c>
      <c r="K136" s="471">
        <f t="shared" si="32"/>
        <v>2.7589044844755524</v>
      </c>
      <c r="L136" s="471">
        <f t="shared" si="32"/>
        <v>0.47494054736390062</v>
      </c>
      <c r="M136" s="471">
        <f t="shared" ref="M136:Q136" si="33">AVERAGE(M103:M108)</f>
        <v>17.1676350691938</v>
      </c>
      <c r="N136" s="471">
        <f t="shared" si="33"/>
        <v>12.474740087976892</v>
      </c>
      <c r="O136" s="471">
        <f t="shared" si="33"/>
        <v>17.387637899385442</v>
      </c>
      <c r="P136" s="471">
        <f t="shared" si="33"/>
        <v>0.57341292841555869</v>
      </c>
      <c r="Q136" s="471">
        <f t="shared" si="33"/>
        <v>7.3270537025695887E-2</v>
      </c>
    </row>
    <row r="137" spans="4:17" ht="14.25">
      <c r="D137" s="251"/>
      <c r="E137" s="251" t="s">
        <v>2</v>
      </c>
      <c r="H137" s="471">
        <f>AVERAGE(H117:H122)</f>
        <v>15.164446070330742</v>
      </c>
      <c r="I137" s="471">
        <f t="shared" ref="I137:L137" si="34">AVERAGE(I117:I122)</f>
        <v>484.30240046935887</v>
      </c>
      <c r="J137" s="471">
        <f t="shared" si="34"/>
        <v>0.48430240046935885</v>
      </c>
      <c r="K137" s="471">
        <f t="shared" si="34"/>
        <v>1.0168785501638793</v>
      </c>
      <c r="L137" s="471">
        <f t="shared" si="34"/>
        <v>1.2059491853926088</v>
      </c>
      <c r="M137" s="471">
        <f t="shared" ref="M137:Q137" si="35">AVERAGE(M117:M122)</f>
        <v>21.384885505553953</v>
      </c>
      <c r="N137" s="471">
        <f t="shared" si="35"/>
        <v>10.69871049598669</v>
      </c>
      <c r="O137" s="471">
        <f t="shared" si="35"/>
        <v>18.977481608577495</v>
      </c>
      <c r="P137" s="471">
        <f t="shared" si="35"/>
        <v>0.70326242044246168</v>
      </c>
      <c r="Q137" s="471">
        <f t="shared" si="35"/>
        <v>0.5026867649501473</v>
      </c>
    </row>
    <row r="138" spans="4:17" ht="14.25">
      <c r="D138" s="251" t="s">
        <v>510</v>
      </c>
      <c r="E138" s="251" t="s">
        <v>510</v>
      </c>
      <c r="H138" s="471">
        <f>AVERAGE(H109:H114)</f>
        <v>27.385530392593594</v>
      </c>
      <c r="I138" s="471">
        <f t="shared" ref="I138:L138" si="36">AVERAGE(I109:I114)</f>
        <v>233.87299605046493</v>
      </c>
      <c r="J138" s="471">
        <f t="shared" si="36"/>
        <v>0.23387299605046494</v>
      </c>
      <c r="K138" s="471">
        <f t="shared" si="36"/>
        <v>3.4345997364612919</v>
      </c>
      <c r="L138" s="471">
        <f t="shared" si="36"/>
        <v>0.66228354546072954</v>
      </c>
      <c r="M138" s="471">
        <f t="shared" ref="M138:Q138" si="37">AVERAGE(M109:M114)</f>
        <v>12.939093611588467</v>
      </c>
      <c r="N138" s="471">
        <f t="shared" si="37"/>
        <v>5.9836223962264334</v>
      </c>
      <c r="O138" s="471">
        <f t="shared" si="37"/>
        <v>23.951118518744412</v>
      </c>
      <c r="P138" s="471">
        <f t="shared" si="37"/>
        <v>0.63216120187554425</v>
      </c>
      <c r="Q138" s="471">
        <f t="shared" si="37"/>
        <v>0.19569322995036753</v>
      </c>
    </row>
  </sheetData>
  <mergeCells count="6">
    <mergeCell ref="AY5:AZ46"/>
    <mergeCell ref="A89:C103"/>
    <mergeCell ref="AU2:AX2"/>
    <mergeCell ref="F3:F4"/>
    <mergeCell ref="AT4:AT5"/>
    <mergeCell ref="H87:K8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C537-4ECE-42CA-A383-B2292A7EE52C}">
  <sheetPr>
    <tabColor rgb="FF00B0F0"/>
  </sheetPr>
  <dimension ref="A1:AJ139"/>
  <sheetViews>
    <sheetView zoomScale="64" workbookViewId="0">
      <selection activeCell="K44" sqref="K44"/>
    </sheetView>
  </sheetViews>
  <sheetFormatPr defaultColWidth="8.75" defaultRowHeight="15.75"/>
  <cols>
    <col min="1" max="1" width="10.5" customWidth="1"/>
    <col min="2" max="2" width="17.25" style="11" hidden="1" customWidth="1"/>
    <col min="3" max="3" width="8.75" customWidth="1"/>
    <col min="5" max="5" width="8.75" style="140"/>
    <col min="6" max="6" width="13.75" customWidth="1"/>
    <col min="7" max="7" width="8.75" style="140"/>
    <col min="8" max="9" width="8.75" customWidth="1"/>
    <col min="10" max="11" width="10.75" customWidth="1"/>
    <col min="12" max="12" width="14.5" hidden="1" customWidth="1"/>
  </cols>
  <sheetData>
    <row r="1" spans="1:36">
      <c r="A1" s="134" t="s">
        <v>871</v>
      </c>
      <c r="C1" s="134" t="s">
        <v>438</v>
      </c>
    </row>
    <row r="2" spans="1:36">
      <c r="A2" s="51" t="s">
        <v>442</v>
      </c>
      <c r="C2" s="51">
        <v>552</v>
      </c>
    </row>
    <row r="3" spans="1:36">
      <c r="A3" s="51" t="s">
        <v>445</v>
      </c>
      <c r="C3" s="51">
        <v>2270</v>
      </c>
    </row>
    <row r="4" spans="1:36">
      <c r="A4" s="51" t="s">
        <v>447</v>
      </c>
      <c r="C4" s="51">
        <v>3200</v>
      </c>
    </row>
    <row r="6" spans="1:36" ht="42.75">
      <c r="A6" s="135" t="s">
        <v>0</v>
      </c>
      <c r="B6" s="2" t="s">
        <v>3</v>
      </c>
      <c r="C6" s="136" t="s">
        <v>138</v>
      </c>
      <c r="D6" s="136" t="s">
        <v>139</v>
      </c>
      <c r="E6" s="141" t="s">
        <v>872</v>
      </c>
      <c r="F6" s="137" t="s">
        <v>873</v>
      </c>
      <c r="G6" s="141"/>
      <c r="H6" s="137" t="s">
        <v>711</v>
      </c>
      <c r="I6" s="137" t="s">
        <v>874</v>
      </c>
      <c r="J6" s="138" t="s">
        <v>875</v>
      </c>
      <c r="K6" s="138"/>
      <c r="L6" s="139" t="s">
        <v>876</v>
      </c>
      <c r="M6" t="s">
        <v>877</v>
      </c>
      <c r="AG6" t="s">
        <v>878</v>
      </c>
    </row>
    <row r="7" spans="1:36" ht="42.75">
      <c r="A7" s="46" t="s">
        <v>198</v>
      </c>
      <c r="B7" s="10" t="s">
        <v>200</v>
      </c>
      <c r="C7" s="146">
        <v>1800</v>
      </c>
      <c r="D7" s="146">
        <v>1726.5</v>
      </c>
      <c r="E7" s="142">
        <f>D7-C7</f>
        <v>-73.5</v>
      </c>
      <c r="F7" s="143">
        <f>(D7/$C$3)*100</f>
        <v>76.057268722466958</v>
      </c>
      <c r="G7" s="142"/>
      <c r="H7">
        <f>AVERAGE(C7:D7)</f>
        <v>1763.25</v>
      </c>
      <c r="I7">
        <f>_xlfn.STDEV.P(C7:D7)</f>
        <v>36.75</v>
      </c>
      <c r="J7">
        <f>(I7/H7)*100</f>
        <v>2.0842194810718846</v>
      </c>
      <c r="L7" s="132">
        <f>(D7/$C$4)*100</f>
        <v>53.953125</v>
      </c>
      <c r="AG7" s="237" t="s">
        <v>0</v>
      </c>
      <c r="AH7" s="136" t="s">
        <v>138</v>
      </c>
      <c r="AI7" s="136" t="s">
        <v>139</v>
      </c>
      <c r="AJ7" s="136" t="s">
        <v>872</v>
      </c>
    </row>
    <row r="8" spans="1:36" ht="18">
      <c r="A8" s="46" t="s">
        <v>213</v>
      </c>
      <c r="B8" s="10" t="s">
        <v>214</v>
      </c>
      <c r="C8" s="146">
        <v>2000</v>
      </c>
      <c r="D8" s="146">
        <v>1748.7</v>
      </c>
      <c r="E8" s="142">
        <f t="shared" ref="E8:E36" si="0">D8-C8</f>
        <v>-251.29999999999995</v>
      </c>
      <c r="F8" s="143">
        <f t="shared" ref="F8:F32" si="1">(D8/$C$3)*100</f>
        <v>77.035242290748897</v>
      </c>
      <c r="G8" s="142"/>
      <c r="H8" s="163">
        <f>AVERAGE(C8:D8)</f>
        <v>1874.35</v>
      </c>
      <c r="I8">
        <f>_xlfn.STDEV.P(C8:D8)</f>
        <v>125.64999999999998</v>
      </c>
      <c r="J8">
        <f t="shared" ref="J8:J36" si="2">(I8/H8)*100</f>
        <v>6.7036572678528543</v>
      </c>
      <c r="L8" s="132">
        <f t="shared" ref="L8:L36" si="3">(D8/$C$4)*100</f>
        <v>54.646875000000009</v>
      </c>
      <c r="AG8" s="46" t="s">
        <v>198</v>
      </c>
      <c r="AH8" s="146">
        <v>1800</v>
      </c>
      <c r="AI8" s="146">
        <v>1726.5</v>
      </c>
      <c r="AJ8" s="10">
        <v>-73.5</v>
      </c>
    </row>
    <row r="9" spans="1:36" ht="18">
      <c r="A9" s="46" t="s">
        <v>223</v>
      </c>
      <c r="B9" s="10" t="s">
        <v>224</v>
      </c>
      <c r="C9" s="146">
        <v>1575</v>
      </c>
      <c r="D9" s="147">
        <v>2394</v>
      </c>
      <c r="E9" s="142">
        <f t="shared" si="0"/>
        <v>819</v>
      </c>
      <c r="F9" s="144">
        <f>(D9/$C$3)*100</f>
        <v>105.46255506607929</v>
      </c>
      <c r="G9" s="142"/>
      <c r="H9">
        <f t="shared" ref="H9:H36" si="4">AVERAGE(C9:D9)</f>
        <v>1984.5</v>
      </c>
      <c r="I9">
        <f t="shared" ref="I9:I36" si="5">_xlfn.STDEV.P(C9:D9)</f>
        <v>409.5</v>
      </c>
      <c r="J9" s="131">
        <f t="shared" si="2"/>
        <v>20.634920634920633</v>
      </c>
      <c r="L9" s="133">
        <f t="shared" si="3"/>
        <v>74.8125</v>
      </c>
      <c r="M9" t="s">
        <v>531</v>
      </c>
      <c r="AG9" s="46" t="s">
        <v>213</v>
      </c>
      <c r="AH9" s="146">
        <v>2000</v>
      </c>
      <c r="AI9" s="146">
        <v>1748.7</v>
      </c>
      <c r="AJ9" s="10">
        <v>-251.29999999999995</v>
      </c>
    </row>
    <row r="10" spans="1:36" ht="18">
      <c r="A10" s="46" t="s">
        <v>232</v>
      </c>
      <c r="B10" s="26" t="s">
        <v>233</v>
      </c>
      <c r="C10" s="148">
        <v>1824</v>
      </c>
      <c r="D10" s="148">
        <v>1540.1</v>
      </c>
      <c r="E10" s="142">
        <f t="shared" si="0"/>
        <v>-283.90000000000009</v>
      </c>
      <c r="F10" s="145">
        <f t="shared" si="1"/>
        <v>67.845814977973561</v>
      </c>
      <c r="G10" s="142"/>
      <c r="H10">
        <f t="shared" si="4"/>
        <v>1682.05</v>
      </c>
      <c r="I10">
        <f t="shared" si="5"/>
        <v>141.95000000000005</v>
      </c>
      <c r="J10">
        <f t="shared" si="2"/>
        <v>8.4391070420023215</v>
      </c>
      <c r="L10" s="132">
        <f t="shared" si="3"/>
        <v>48.128124999999997</v>
      </c>
      <c r="AG10" s="46" t="s">
        <v>223</v>
      </c>
      <c r="AH10" s="146">
        <v>1575</v>
      </c>
      <c r="AI10" s="233">
        <f>AVERAGE(F46:F49)</f>
        <v>2133.3249999999998</v>
      </c>
      <c r="AJ10" s="235">
        <f>AI10-AH10</f>
        <v>558.32499999999982</v>
      </c>
    </row>
    <row r="11" spans="1:36" ht="18">
      <c r="A11" s="46" t="s">
        <v>241</v>
      </c>
      <c r="B11" s="27" t="s">
        <v>242</v>
      </c>
      <c r="C11" s="146">
        <v>910</v>
      </c>
      <c r="D11" s="146">
        <v>955.7</v>
      </c>
      <c r="E11" s="142">
        <f t="shared" si="0"/>
        <v>45.700000000000045</v>
      </c>
      <c r="F11" s="145">
        <f t="shared" si="1"/>
        <v>42.101321585903086</v>
      </c>
      <c r="G11" s="142"/>
      <c r="H11">
        <f t="shared" si="4"/>
        <v>932.85</v>
      </c>
      <c r="I11">
        <f t="shared" si="5"/>
        <v>22.850000000000023</v>
      </c>
      <c r="J11">
        <f t="shared" si="2"/>
        <v>2.4494827678619311</v>
      </c>
      <c r="L11" s="132">
        <f t="shared" si="3"/>
        <v>29.865625000000001</v>
      </c>
      <c r="P11" t="s">
        <v>606</v>
      </c>
      <c r="AG11" s="46" t="s">
        <v>232</v>
      </c>
      <c r="AH11" s="148">
        <v>1824</v>
      </c>
      <c r="AI11" s="148">
        <v>1540.1</v>
      </c>
      <c r="AJ11" s="10">
        <v>-283.90000000000009</v>
      </c>
    </row>
    <row r="12" spans="1:36" ht="18">
      <c r="A12" s="46" t="s">
        <v>248</v>
      </c>
      <c r="B12" s="27" t="s">
        <v>249</v>
      </c>
      <c r="C12" s="146">
        <v>2000</v>
      </c>
      <c r="D12" s="146">
        <v>1311.2</v>
      </c>
      <c r="E12" s="142">
        <f t="shared" si="0"/>
        <v>-688.8</v>
      </c>
      <c r="F12" s="145">
        <f t="shared" si="1"/>
        <v>57.76211453744493</v>
      </c>
      <c r="G12" s="142"/>
      <c r="H12">
        <f t="shared" si="4"/>
        <v>1655.6</v>
      </c>
      <c r="I12">
        <f t="shared" si="5"/>
        <v>344.40000000000049</v>
      </c>
      <c r="J12" s="131">
        <f t="shared" si="2"/>
        <v>20.802126117419697</v>
      </c>
      <c r="L12" s="132">
        <f t="shared" si="3"/>
        <v>40.975000000000001</v>
      </c>
      <c r="AG12" s="46" t="s">
        <v>241</v>
      </c>
      <c r="AH12" s="146">
        <v>910</v>
      </c>
      <c r="AI12" s="146">
        <v>955.7</v>
      </c>
      <c r="AJ12" s="10">
        <v>45.700000000000045</v>
      </c>
    </row>
    <row r="13" spans="1:36" ht="18">
      <c r="A13" s="46" t="s">
        <v>255</v>
      </c>
      <c r="B13" s="28" t="s">
        <v>256</v>
      </c>
      <c r="C13" s="146">
        <v>1800</v>
      </c>
      <c r="D13" s="146">
        <v>1596.9</v>
      </c>
      <c r="E13" s="142">
        <f t="shared" si="0"/>
        <v>-203.09999999999991</v>
      </c>
      <c r="F13" s="143">
        <f t="shared" si="1"/>
        <v>70.348017621145374</v>
      </c>
      <c r="G13" s="142"/>
      <c r="H13">
        <f t="shared" si="4"/>
        <v>1698.45</v>
      </c>
      <c r="I13">
        <f t="shared" si="5"/>
        <v>101.54999999999995</v>
      </c>
      <c r="J13">
        <f t="shared" si="2"/>
        <v>5.9789808354676293</v>
      </c>
      <c r="L13" s="132">
        <f t="shared" si="3"/>
        <v>49.903125000000003</v>
      </c>
      <c r="AG13" s="46" t="s">
        <v>248</v>
      </c>
      <c r="AH13" s="146">
        <v>2000</v>
      </c>
      <c r="AI13" s="146">
        <v>1311.2</v>
      </c>
      <c r="AJ13" s="10">
        <v>-688.8</v>
      </c>
    </row>
    <row r="14" spans="1:36" ht="18">
      <c r="A14" s="46" t="s">
        <v>263</v>
      </c>
      <c r="B14" s="28" t="s">
        <v>264</v>
      </c>
      <c r="C14" s="146">
        <v>1500</v>
      </c>
      <c r="D14" s="146">
        <v>801.3</v>
      </c>
      <c r="E14" s="142">
        <f t="shared" si="0"/>
        <v>-698.7</v>
      </c>
      <c r="F14" s="145">
        <f t="shared" si="1"/>
        <v>35.29955947136564</v>
      </c>
      <c r="G14" s="142"/>
      <c r="H14">
        <f t="shared" si="4"/>
        <v>1150.6500000000001</v>
      </c>
      <c r="I14">
        <f t="shared" si="5"/>
        <v>349.3499999999998</v>
      </c>
      <c r="J14" s="131">
        <f t="shared" si="2"/>
        <v>30.361100247686068</v>
      </c>
      <c r="L14" s="132">
        <f t="shared" si="3"/>
        <v>25.040624999999999</v>
      </c>
      <c r="AG14" s="46" t="s">
        <v>255</v>
      </c>
      <c r="AH14" s="146">
        <v>1800</v>
      </c>
      <c r="AI14" s="146">
        <v>1596.9</v>
      </c>
      <c r="AJ14" s="10">
        <v>-203.09999999999991</v>
      </c>
    </row>
    <row r="15" spans="1:36" ht="18">
      <c r="A15" s="46" t="s">
        <v>270</v>
      </c>
      <c r="B15" s="28" t="s">
        <v>65</v>
      </c>
      <c r="C15" s="146">
        <v>1100</v>
      </c>
      <c r="D15" s="146">
        <v>963.7</v>
      </c>
      <c r="E15" s="142">
        <f t="shared" si="0"/>
        <v>-136.29999999999995</v>
      </c>
      <c r="F15" s="145">
        <f t="shared" si="1"/>
        <v>42.453744493392072</v>
      </c>
      <c r="G15" s="142"/>
      <c r="H15">
        <f t="shared" si="4"/>
        <v>1031.8499999999999</v>
      </c>
      <c r="I15">
        <f t="shared" si="5"/>
        <v>68.149999999999977</v>
      </c>
      <c r="J15">
        <f t="shared" si="2"/>
        <v>6.6046421475989714</v>
      </c>
      <c r="L15" s="132">
        <f t="shared" si="3"/>
        <v>30.115625000000001</v>
      </c>
      <c r="AG15" s="46" t="s">
        <v>263</v>
      </c>
      <c r="AH15" s="146">
        <v>1500</v>
      </c>
      <c r="AI15" s="146">
        <v>801.3</v>
      </c>
      <c r="AJ15" s="10">
        <v>-698.7</v>
      </c>
    </row>
    <row r="16" spans="1:36" ht="18">
      <c r="A16" s="46" t="s">
        <v>318</v>
      </c>
      <c r="B16" s="10" t="s">
        <v>319</v>
      </c>
      <c r="C16" s="146">
        <v>1312</v>
      </c>
      <c r="D16" s="146">
        <v>1934.7</v>
      </c>
      <c r="E16" s="142">
        <f t="shared" si="0"/>
        <v>622.70000000000005</v>
      </c>
      <c r="F16" s="143">
        <f t="shared" si="1"/>
        <v>85.229074889867846</v>
      </c>
      <c r="G16" s="142"/>
      <c r="H16">
        <f t="shared" si="4"/>
        <v>1623.35</v>
      </c>
      <c r="I16">
        <f t="shared" si="5"/>
        <v>311.35000000000036</v>
      </c>
      <c r="J16" s="131">
        <f t="shared" si="2"/>
        <v>19.179474543382536</v>
      </c>
      <c r="L16" s="132">
        <f t="shared" si="3"/>
        <v>60.459375000000001</v>
      </c>
      <c r="AB16" t="s">
        <v>879</v>
      </c>
      <c r="AG16" s="46" t="s">
        <v>270</v>
      </c>
      <c r="AH16" s="146">
        <v>1100</v>
      </c>
      <c r="AI16" s="146">
        <v>963.7</v>
      </c>
      <c r="AJ16" s="10">
        <v>-136.29999999999995</v>
      </c>
    </row>
    <row r="17" spans="1:36" ht="18">
      <c r="A17" s="46" t="s">
        <v>321</v>
      </c>
      <c r="B17" s="10" t="s">
        <v>322</v>
      </c>
      <c r="C17" s="146">
        <v>1500</v>
      </c>
      <c r="D17" s="149">
        <v>2324.5</v>
      </c>
      <c r="E17" s="142">
        <f t="shared" si="0"/>
        <v>824.5</v>
      </c>
      <c r="F17" s="144">
        <f t="shared" si="1"/>
        <v>102.40088105726872</v>
      </c>
      <c r="G17" s="142"/>
      <c r="H17">
        <f t="shared" si="4"/>
        <v>1912.25</v>
      </c>
      <c r="I17">
        <f t="shared" si="5"/>
        <v>412.25</v>
      </c>
      <c r="J17" s="131">
        <f t="shared" si="2"/>
        <v>21.558373643613542</v>
      </c>
      <c r="L17" s="133">
        <f t="shared" si="3"/>
        <v>72.640625</v>
      </c>
      <c r="M17" t="s">
        <v>531</v>
      </c>
      <c r="AG17" s="46" t="s">
        <v>318</v>
      </c>
      <c r="AH17" s="146">
        <v>1312</v>
      </c>
      <c r="AI17" s="146">
        <v>1934.7</v>
      </c>
      <c r="AJ17" s="10">
        <v>622.70000000000005</v>
      </c>
    </row>
    <row r="18" spans="1:36" ht="18">
      <c r="A18" s="46" t="s">
        <v>326</v>
      </c>
      <c r="B18" s="10" t="s">
        <v>327</v>
      </c>
      <c r="C18" s="146">
        <v>1200</v>
      </c>
      <c r="D18" s="146">
        <v>1452.2</v>
      </c>
      <c r="E18" s="142">
        <f t="shared" si="0"/>
        <v>252.20000000000005</v>
      </c>
      <c r="F18" s="145">
        <f t="shared" si="1"/>
        <v>63.973568281938334</v>
      </c>
      <c r="G18" s="142"/>
      <c r="H18">
        <f t="shared" si="4"/>
        <v>1326.1</v>
      </c>
      <c r="I18">
        <f t="shared" si="5"/>
        <v>126.10000000000002</v>
      </c>
      <c r="J18">
        <f t="shared" si="2"/>
        <v>9.5090867958675851</v>
      </c>
      <c r="L18" s="132">
        <f t="shared" si="3"/>
        <v>45.381250000000001</v>
      </c>
      <c r="AG18" s="46" t="s">
        <v>321</v>
      </c>
      <c r="AH18" s="146">
        <v>1500</v>
      </c>
      <c r="AI18" s="234">
        <f>AVERAGE(F81:F84)</f>
        <v>1819.35</v>
      </c>
      <c r="AJ18" s="235">
        <f>AI18-AH18</f>
        <v>319.34999999999991</v>
      </c>
    </row>
    <row r="19" spans="1:36" ht="18">
      <c r="A19" s="46" t="s">
        <v>278</v>
      </c>
      <c r="B19" s="30" t="s">
        <v>279</v>
      </c>
      <c r="C19" s="150">
        <v>438</v>
      </c>
      <c r="D19" s="146">
        <v>947.7</v>
      </c>
      <c r="E19" s="142">
        <f t="shared" si="0"/>
        <v>509.70000000000005</v>
      </c>
      <c r="F19" s="145">
        <f t="shared" si="1"/>
        <v>41.748898678414101</v>
      </c>
      <c r="G19" s="142"/>
      <c r="H19">
        <f t="shared" si="4"/>
        <v>692.85</v>
      </c>
      <c r="I19">
        <f t="shared" si="5"/>
        <v>254.84999999999994</v>
      </c>
      <c r="J19" s="131">
        <f t="shared" si="2"/>
        <v>36.782853431478664</v>
      </c>
      <c r="L19" s="132">
        <f t="shared" si="3"/>
        <v>29.615625000000001</v>
      </c>
      <c r="AG19" s="46" t="s">
        <v>326</v>
      </c>
      <c r="AH19" s="146">
        <v>1200</v>
      </c>
      <c r="AI19" s="146">
        <v>1452.2</v>
      </c>
      <c r="AJ19" s="10">
        <v>252.20000000000005</v>
      </c>
    </row>
    <row r="20" spans="1:36" ht="18">
      <c r="A20" s="46" t="s">
        <v>284</v>
      </c>
      <c r="B20" s="10" t="s">
        <v>285</v>
      </c>
      <c r="C20" s="146">
        <v>1800</v>
      </c>
      <c r="D20" s="146">
        <v>1200.9000000000001</v>
      </c>
      <c r="E20" s="142">
        <f t="shared" si="0"/>
        <v>-599.09999999999991</v>
      </c>
      <c r="F20" s="145">
        <f t="shared" si="1"/>
        <v>52.903083700440533</v>
      </c>
      <c r="G20" s="142"/>
      <c r="H20" s="163">
        <f>AVERAGE(C20:D20)</f>
        <v>1500.45</v>
      </c>
      <c r="I20">
        <f t="shared" si="5"/>
        <v>299.55000000000024</v>
      </c>
      <c r="J20" s="131">
        <f t="shared" si="2"/>
        <v>19.964010796760988</v>
      </c>
      <c r="L20" s="132">
        <f t="shared" si="3"/>
        <v>37.528125000000003</v>
      </c>
      <c r="AG20" s="46" t="s">
        <v>278</v>
      </c>
      <c r="AH20" s="147">
        <v>438</v>
      </c>
      <c r="AI20" s="146">
        <v>947.7</v>
      </c>
      <c r="AJ20" s="10">
        <v>509.70000000000005</v>
      </c>
    </row>
    <row r="21" spans="1:36" ht="18">
      <c r="A21" s="46" t="s">
        <v>293</v>
      </c>
      <c r="B21" s="10" t="s">
        <v>294</v>
      </c>
      <c r="C21" s="146">
        <v>1350</v>
      </c>
      <c r="D21" s="146">
        <v>1768.2</v>
      </c>
      <c r="E21" s="142">
        <f t="shared" si="0"/>
        <v>418.20000000000005</v>
      </c>
      <c r="F21" s="143">
        <f t="shared" si="1"/>
        <v>77.894273127753308</v>
      </c>
      <c r="G21" s="142"/>
      <c r="H21">
        <f t="shared" si="4"/>
        <v>1559.1</v>
      </c>
      <c r="I21">
        <f t="shared" si="5"/>
        <v>209.10000000000124</v>
      </c>
      <c r="J21" s="131">
        <f t="shared" si="2"/>
        <v>13.411583605926577</v>
      </c>
      <c r="L21" s="132">
        <f t="shared" si="3"/>
        <v>55.256250000000009</v>
      </c>
      <c r="AG21" s="46" t="s">
        <v>284</v>
      </c>
      <c r="AH21" s="146">
        <v>1800</v>
      </c>
      <c r="AI21" s="146">
        <v>1200.9000000000001</v>
      </c>
      <c r="AJ21" s="10">
        <v>-599.09999999999991</v>
      </c>
    </row>
    <row r="22" spans="1:36" ht="18">
      <c r="A22" s="46" t="s">
        <v>297</v>
      </c>
      <c r="B22" s="10" t="s">
        <v>46</v>
      </c>
      <c r="C22" s="146">
        <v>2500</v>
      </c>
      <c r="D22" s="147">
        <v>2724</v>
      </c>
      <c r="E22" s="142">
        <f t="shared" si="0"/>
        <v>224</v>
      </c>
      <c r="F22" s="144">
        <f t="shared" si="1"/>
        <v>120</v>
      </c>
      <c r="G22" s="142"/>
      <c r="H22">
        <f t="shared" si="4"/>
        <v>2612</v>
      </c>
      <c r="I22">
        <f t="shared" si="5"/>
        <v>112</v>
      </c>
      <c r="J22">
        <f t="shared" si="2"/>
        <v>4.2879019908116387</v>
      </c>
      <c r="L22" s="133">
        <f t="shared" si="3"/>
        <v>85.125</v>
      </c>
      <c r="M22" t="s">
        <v>531</v>
      </c>
      <c r="AG22" s="46" t="s">
        <v>293</v>
      </c>
      <c r="AH22" s="146">
        <v>1350</v>
      </c>
      <c r="AI22" s="146">
        <v>1768.2</v>
      </c>
      <c r="AJ22" s="10">
        <v>418.20000000000005</v>
      </c>
    </row>
    <row r="23" spans="1:36" ht="18">
      <c r="A23" s="46" t="s">
        <v>302</v>
      </c>
      <c r="B23" s="30" t="s">
        <v>303</v>
      </c>
      <c r="C23" s="146">
        <v>1400</v>
      </c>
      <c r="D23" s="146">
        <v>1929.4</v>
      </c>
      <c r="E23" s="142">
        <f t="shared" si="0"/>
        <v>529.40000000000009</v>
      </c>
      <c r="F23" s="143">
        <f t="shared" si="1"/>
        <v>84.995594713656402</v>
      </c>
      <c r="G23" s="142"/>
      <c r="H23">
        <f t="shared" si="4"/>
        <v>1664.7</v>
      </c>
      <c r="I23">
        <f t="shared" si="5"/>
        <v>264.6999999999997</v>
      </c>
      <c r="J23" s="131">
        <f t="shared" si="2"/>
        <v>15.900762900222244</v>
      </c>
      <c r="L23" s="132">
        <f t="shared" si="3"/>
        <v>60.293750000000003</v>
      </c>
      <c r="AG23" s="46" t="s">
        <v>297</v>
      </c>
      <c r="AH23" s="146">
        <v>2500</v>
      </c>
      <c r="AI23" s="233">
        <f>AVERAGE(F59:F62)</f>
        <v>3525.9250000000002</v>
      </c>
      <c r="AJ23" s="235">
        <f>AI23-AH23</f>
        <v>1025.9250000000002</v>
      </c>
    </row>
    <row r="24" spans="1:36" ht="18">
      <c r="A24" s="46" t="s">
        <v>314</v>
      </c>
      <c r="B24" s="10" t="s">
        <v>315</v>
      </c>
      <c r="C24" s="146">
        <v>1500</v>
      </c>
      <c r="D24" s="146">
        <v>518.79999999999995</v>
      </c>
      <c r="E24" s="142">
        <f t="shared" si="0"/>
        <v>-981.2</v>
      </c>
      <c r="F24" s="144">
        <f t="shared" si="1"/>
        <v>22.854625550660788</v>
      </c>
      <c r="G24" s="142"/>
      <c r="H24">
        <f t="shared" si="4"/>
        <v>1009.4</v>
      </c>
      <c r="I24">
        <f t="shared" si="5"/>
        <v>490.59999999999997</v>
      </c>
      <c r="J24" s="131">
        <f t="shared" si="2"/>
        <v>48.603130572617395</v>
      </c>
      <c r="L24" s="132">
        <f t="shared" si="3"/>
        <v>16.212499999999999</v>
      </c>
      <c r="AG24" s="46" t="s">
        <v>302</v>
      </c>
      <c r="AH24" s="146">
        <v>1400</v>
      </c>
      <c r="AI24" s="146">
        <v>1929.4</v>
      </c>
      <c r="AJ24" s="10">
        <v>529.40000000000009</v>
      </c>
    </row>
    <row r="25" spans="1:36" ht="18">
      <c r="A25" s="46" t="s">
        <v>310</v>
      </c>
      <c r="B25" s="27" t="s">
        <v>311</v>
      </c>
      <c r="C25" s="146">
        <v>2000</v>
      </c>
      <c r="D25" s="146">
        <v>963.3</v>
      </c>
      <c r="E25" s="142">
        <f t="shared" si="0"/>
        <v>-1036.7</v>
      </c>
      <c r="F25" s="145">
        <f t="shared" si="1"/>
        <v>42.436123348017617</v>
      </c>
      <c r="G25" s="142"/>
      <c r="H25">
        <f t="shared" si="4"/>
        <v>1481.65</v>
      </c>
      <c r="I25">
        <f t="shared" si="5"/>
        <v>518.34999999999968</v>
      </c>
      <c r="J25" s="131">
        <f t="shared" si="2"/>
        <v>34.984645496574743</v>
      </c>
      <c r="L25" s="132">
        <f t="shared" si="3"/>
        <v>30.103124999999999</v>
      </c>
      <c r="AG25" s="46" t="s">
        <v>314</v>
      </c>
      <c r="AH25" s="146">
        <v>1500</v>
      </c>
      <c r="AI25" s="146">
        <v>518.79999999999995</v>
      </c>
      <c r="AJ25" s="10">
        <v>-981.2</v>
      </c>
    </row>
    <row r="26" spans="1:36" ht="18">
      <c r="A26" s="47" t="s">
        <v>334</v>
      </c>
      <c r="B26" s="14" t="s">
        <v>335</v>
      </c>
      <c r="C26" s="151">
        <v>1000</v>
      </c>
      <c r="D26" s="151">
        <v>1279.7</v>
      </c>
      <c r="E26" s="142">
        <f t="shared" si="0"/>
        <v>279.70000000000005</v>
      </c>
      <c r="F26" s="145">
        <f t="shared" si="1"/>
        <v>56.374449339207054</v>
      </c>
      <c r="G26" s="142"/>
      <c r="H26">
        <f t="shared" si="4"/>
        <v>1139.8499999999999</v>
      </c>
      <c r="I26">
        <f t="shared" si="5"/>
        <v>139.8500000000007</v>
      </c>
      <c r="J26" s="131">
        <f t="shared" si="2"/>
        <v>12.269158222573209</v>
      </c>
      <c r="L26" s="132">
        <f t="shared" si="3"/>
        <v>39.990625000000001</v>
      </c>
      <c r="AG26" s="46" t="s">
        <v>310</v>
      </c>
      <c r="AH26" s="146">
        <v>2000</v>
      </c>
      <c r="AI26" s="146">
        <v>963.3</v>
      </c>
      <c r="AJ26" s="10">
        <v>-1036.7</v>
      </c>
    </row>
    <row r="27" spans="1:36" ht="18">
      <c r="A27" s="47" t="s">
        <v>343</v>
      </c>
      <c r="B27" s="14" t="s">
        <v>344</v>
      </c>
      <c r="C27" s="151">
        <v>1000</v>
      </c>
      <c r="D27" s="151">
        <v>1126.3</v>
      </c>
      <c r="E27" s="142">
        <f t="shared" si="0"/>
        <v>126.29999999999995</v>
      </c>
      <c r="F27" s="145">
        <f t="shared" si="1"/>
        <v>49.616740088105729</v>
      </c>
      <c r="G27" s="142"/>
      <c r="H27">
        <f t="shared" si="4"/>
        <v>1063.1500000000001</v>
      </c>
      <c r="I27">
        <f t="shared" si="5"/>
        <v>63.149999999999977</v>
      </c>
      <c r="J27">
        <f t="shared" si="2"/>
        <v>5.9398955932841062</v>
      </c>
      <c r="L27" s="132">
        <f t="shared" si="3"/>
        <v>35.196874999999999</v>
      </c>
      <c r="AG27" s="47" t="s">
        <v>334</v>
      </c>
      <c r="AH27" s="151">
        <v>1000</v>
      </c>
      <c r="AI27" s="151">
        <v>1279.7</v>
      </c>
      <c r="AJ27" s="14">
        <v>279.70000000000005</v>
      </c>
    </row>
    <row r="28" spans="1:36" ht="18">
      <c r="A28" s="47" t="s">
        <v>349</v>
      </c>
      <c r="B28" s="14" t="s">
        <v>350</v>
      </c>
      <c r="C28" s="151">
        <v>1208</v>
      </c>
      <c r="D28" s="151">
        <v>1769.2</v>
      </c>
      <c r="E28" s="142">
        <f t="shared" si="0"/>
        <v>561.20000000000005</v>
      </c>
      <c r="F28" s="143">
        <f t="shared" si="1"/>
        <v>77.93832599118943</v>
      </c>
      <c r="G28" s="142"/>
      <c r="H28">
        <f t="shared" si="4"/>
        <v>1488.6</v>
      </c>
      <c r="I28">
        <f t="shared" si="5"/>
        <v>280.60000000000144</v>
      </c>
      <c r="J28" s="131">
        <f t="shared" si="2"/>
        <v>18.849926105065258</v>
      </c>
      <c r="L28" s="132">
        <f t="shared" si="3"/>
        <v>55.287500000000001</v>
      </c>
      <c r="AG28" s="47" t="s">
        <v>343</v>
      </c>
      <c r="AH28" s="151">
        <v>1000</v>
      </c>
      <c r="AI28" s="151">
        <v>1126.3</v>
      </c>
      <c r="AJ28" s="14">
        <v>126.29999999999995</v>
      </c>
    </row>
    <row r="29" spans="1:36" ht="18">
      <c r="A29" s="47" t="s">
        <v>356</v>
      </c>
      <c r="B29" s="14" t="s">
        <v>357</v>
      </c>
      <c r="C29" s="151">
        <v>800</v>
      </c>
      <c r="D29" s="151">
        <v>1027.2</v>
      </c>
      <c r="E29" s="142">
        <f t="shared" si="0"/>
        <v>227.20000000000005</v>
      </c>
      <c r="F29" s="145">
        <f t="shared" si="1"/>
        <v>45.251101321585907</v>
      </c>
      <c r="G29" s="142"/>
      <c r="H29">
        <f t="shared" si="4"/>
        <v>913.6</v>
      </c>
      <c r="I29">
        <f t="shared" si="5"/>
        <v>113.59999999999984</v>
      </c>
      <c r="J29" s="131">
        <f t="shared" si="2"/>
        <v>12.434325744308213</v>
      </c>
      <c r="L29" s="132">
        <f t="shared" si="3"/>
        <v>32.1</v>
      </c>
      <c r="AG29" s="47" t="s">
        <v>349</v>
      </c>
      <c r="AH29" s="151">
        <v>1208</v>
      </c>
      <c r="AI29" s="151">
        <v>1769.2</v>
      </c>
      <c r="AJ29" s="14">
        <v>561.20000000000005</v>
      </c>
    </row>
    <row r="30" spans="1:36" ht="18">
      <c r="A30" s="47" t="s">
        <v>363</v>
      </c>
      <c r="B30" s="14" t="s">
        <v>364</v>
      </c>
      <c r="C30" s="151">
        <v>1000</v>
      </c>
      <c r="D30" s="151">
        <v>677.4</v>
      </c>
      <c r="E30" s="142">
        <f t="shared" si="0"/>
        <v>-322.60000000000002</v>
      </c>
      <c r="F30" s="145">
        <f t="shared" si="1"/>
        <v>29.841409691629956</v>
      </c>
      <c r="G30" s="142"/>
      <c r="H30">
        <f t="shared" si="4"/>
        <v>838.7</v>
      </c>
      <c r="I30">
        <f t="shared" si="5"/>
        <v>161.29999999999984</v>
      </c>
      <c r="J30" s="131">
        <f t="shared" si="2"/>
        <v>19.232144986288283</v>
      </c>
      <c r="L30" s="132">
        <f t="shared" si="3"/>
        <v>21.168749999999999</v>
      </c>
      <c r="AG30" s="47" t="s">
        <v>356</v>
      </c>
      <c r="AH30" s="151">
        <v>800</v>
      </c>
      <c r="AI30" s="151">
        <v>1027.2</v>
      </c>
      <c r="AJ30" s="14">
        <v>227.20000000000005</v>
      </c>
    </row>
    <row r="31" spans="1:36" ht="18">
      <c r="A31" s="48" t="s">
        <v>375</v>
      </c>
      <c r="B31" s="13" t="s">
        <v>376</v>
      </c>
      <c r="C31" s="152">
        <v>1400</v>
      </c>
      <c r="D31" s="152">
        <v>1051.7</v>
      </c>
      <c r="E31" s="142">
        <f t="shared" si="0"/>
        <v>-348.29999999999995</v>
      </c>
      <c r="F31" s="145">
        <f t="shared" si="1"/>
        <v>46.330396475770932</v>
      </c>
      <c r="G31" s="142"/>
      <c r="H31">
        <f t="shared" si="4"/>
        <v>1225.8499999999999</v>
      </c>
      <c r="I31">
        <f t="shared" si="5"/>
        <v>174.15000000000109</v>
      </c>
      <c r="J31" s="131">
        <f t="shared" si="2"/>
        <v>14.206468980707355</v>
      </c>
      <c r="L31" s="132">
        <f t="shared" si="3"/>
        <v>32.865625000000001</v>
      </c>
      <c r="AG31" s="47" t="s">
        <v>363</v>
      </c>
      <c r="AH31" s="151">
        <v>1000</v>
      </c>
      <c r="AI31" s="151">
        <v>677.4</v>
      </c>
      <c r="AJ31" s="14">
        <v>-322.60000000000002</v>
      </c>
    </row>
    <row r="32" spans="1:36" ht="18">
      <c r="A32" s="48" t="s">
        <v>383</v>
      </c>
      <c r="B32" s="13" t="s">
        <v>384</v>
      </c>
      <c r="C32" s="152">
        <v>1800</v>
      </c>
      <c r="D32" s="152">
        <v>1395.9</v>
      </c>
      <c r="E32" s="142">
        <f t="shared" si="0"/>
        <v>-404.09999999999991</v>
      </c>
      <c r="F32" s="145">
        <f t="shared" si="1"/>
        <v>61.493392070484589</v>
      </c>
      <c r="G32" s="142"/>
      <c r="H32">
        <f t="shared" si="4"/>
        <v>1597.95</v>
      </c>
      <c r="I32">
        <f t="shared" si="5"/>
        <v>202.05000000000032</v>
      </c>
      <c r="J32" s="131">
        <f t="shared" si="2"/>
        <v>12.644325542100837</v>
      </c>
      <c r="L32" s="132">
        <f t="shared" si="3"/>
        <v>43.621875000000003</v>
      </c>
      <c r="AG32" s="48" t="s">
        <v>375</v>
      </c>
      <c r="AH32" s="152">
        <v>1400</v>
      </c>
      <c r="AI32" s="152">
        <v>1051.7</v>
      </c>
      <c r="AJ32" s="13">
        <v>-348.29999999999995</v>
      </c>
    </row>
    <row r="33" spans="1:36" ht="18" hidden="1">
      <c r="A33" s="48" t="s">
        <v>407</v>
      </c>
      <c r="B33" s="37" t="s">
        <v>408</v>
      </c>
      <c r="C33" s="153">
        <v>1800</v>
      </c>
      <c r="D33" s="154"/>
      <c r="E33" s="142"/>
      <c r="F33" s="145"/>
      <c r="G33" s="142"/>
      <c r="L33" s="132"/>
      <c r="AG33" s="48" t="s">
        <v>383</v>
      </c>
      <c r="AH33" s="152">
        <v>1800</v>
      </c>
      <c r="AI33" s="152">
        <v>1395.9</v>
      </c>
      <c r="AJ33" s="13">
        <v>-404.09999999999991</v>
      </c>
    </row>
    <row r="34" spans="1:36" ht="18">
      <c r="A34" s="48" t="s">
        <v>393</v>
      </c>
      <c r="B34" s="37" t="s">
        <v>394</v>
      </c>
      <c r="C34" s="153">
        <v>2000</v>
      </c>
      <c r="D34" s="153">
        <v>1270.9000000000001</v>
      </c>
      <c r="E34" s="142">
        <f t="shared" si="0"/>
        <v>-729.09999999999991</v>
      </c>
      <c r="F34" s="145">
        <f>(D34/$C$3)*100</f>
        <v>55.986784140969171</v>
      </c>
      <c r="G34" s="142"/>
      <c r="H34">
        <f t="shared" si="4"/>
        <v>1635.45</v>
      </c>
      <c r="I34">
        <f t="shared" si="5"/>
        <v>364.55000000000018</v>
      </c>
      <c r="J34" s="131">
        <f t="shared" si="2"/>
        <v>22.290501085328206</v>
      </c>
      <c r="L34" s="132">
        <f t="shared" si="3"/>
        <v>39.715625000000003</v>
      </c>
      <c r="AG34" s="48" t="s">
        <v>383</v>
      </c>
      <c r="AH34" s="152">
        <v>1800</v>
      </c>
      <c r="AI34" s="152">
        <v>1395.9</v>
      </c>
      <c r="AJ34" s="236">
        <f>AI34-AH34</f>
        <v>-404.09999999999991</v>
      </c>
    </row>
    <row r="35" spans="1:36" ht="18">
      <c r="A35" s="48" t="s">
        <v>400</v>
      </c>
      <c r="B35" s="37" t="s">
        <v>401</v>
      </c>
      <c r="C35" s="153">
        <v>1650</v>
      </c>
      <c r="D35" s="153">
        <v>2101.6999999999998</v>
      </c>
      <c r="E35" s="142">
        <f t="shared" si="0"/>
        <v>451.69999999999982</v>
      </c>
      <c r="F35" s="143">
        <f>(D35/$C$3)*100</f>
        <v>92.58590308370043</v>
      </c>
      <c r="G35" s="142"/>
      <c r="H35">
        <f t="shared" si="4"/>
        <v>1875.85</v>
      </c>
      <c r="I35">
        <f t="shared" si="5"/>
        <v>225.85000000000034</v>
      </c>
      <c r="J35" s="131">
        <f t="shared" si="2"/>
        <v>12.039875256550383</v>
      </c>
      <c r="L35" s="132">
        <f t="shared" si="3"/>
        <v>65.678124999999994</v>
      </c>
      <c r="M35" t="s">
        <v>531</v>
      </c>
      <c r="AG35" s="48" t="s">
        <v>393</v>
      </c>
      <c r="AH35" s="153">
        <v>2000</v>
      </c>
      <c r="AI35" s="153">
        <v>1270.9000000000001</v>
      </c>
      <c r="AJ35" s="13">
        <v>-729.09999999999991</v>
      </c>
    </row>
    <row r="36" spans="1:36" ht="18">
      <c r="A36" s="48" t="s">
        <v>404</v>
      </c>
      <c r="B36" s="37" t="s">
        <v>405</v>
      </c>
      <c r="C36" s="153">
        <v>1800</v>
      </c>
      <c r="D36" s="153">
        <v>1223.3</v>
      </c>
      <c r="E36" s="142">
        <f t="shared" si="0"/>
        <v>-576.70000000000005</v>
      </c>
      <c r="F36" s="145">
        <f>(D36/$C$3)*100</f>
        <v>53.889867841409689</v>
      </c>
      <c r="G36" s="142"/>
      <c r="H36">
        <f t="shared" si="4"/>
        <v>1511.65</v>
      </c>
      <c r="I36">
        <f t="shared" si="5"/>
        <v>288.34999999999945</v>
      </c>
      <c r="J36" s="131">
        <f t="shared" si="2"/>
        <v>19.075182747329038</v>
      </c>
      <c r="L36" s="132">
        <f t="shared" si="3"/>
        <v>38.228124999999999</v>
      </c>
      <c r="AG36" s="48" t="s">
        <v>400</v>
      </c>
      <c r="AH36" s="153">
        <v>1650</v>
      </c>
      <c r="AI36" s="233">
        <f>AVERAGE(F74:F77)</f>
        <v>2221.5</v>
      </c>
      <c r="AJ36" s="236">
        <f>AI36-AH36</f>
        <v>571.5</v>
      </c>
    </row>
    <row r="37" spans="1:36" ht="18">
      <c r="AG37" s="48" t="s">
        <v>404</v>
      </c>
      <c r="AH37" s="153">
        <v>1800</v>
      </c>
      <c r="AI37" s="153">
        <v>1223.3</v>
      </c>
      <c r="AJ37" s="13">
        <v>-576.70000000000005</v>
      </c>
    </row>
    <row r="38" spans="1:36">
      <c r="D38" s="163">
        <f>AVERAGE(D34:D36,D7:D32)</f>
        <v>1438.7965517241378</v>
      </c>
    </row>
    <row r="41" spans="1:36">
      <c r="A41" s="980" t="s">
        <v>880</v>
      </c>
      <c r="B41" s="980"/>
      <c r="K41" t="s">
        <v>606</v>
      </c>
    </row>
    <row r="42" spans="1:36">
      <c r="A42" s="981"/>
      <c r="B42" s="981"/>
    </row>
    <row r="43" spans="1:36">
      <c r="A43" s="188" t="s">
        <v>550</v>
      </c>
      <c r="B43" s="188" t="s">
        <v>881</v>
      </c>
      <c r="C43" s="188" t="s">
        <v>882</v>
      </c>
      <c r="D43" s="188" t="s">
        <v>883</v>
      </c>
      <c r="E43" s="188" t="s">
        <v>884</v>
      </c>
      <c r="F43" s="188" t="s">
        <v>885</v>
      </c>
      <c r="H43" s="60" t="s">
        <v>886</v>
      </c>
    </row>
    <row r="44" spans="1:36" ht="18">
      <c r="A44" s="189">
        <v>265</v>
      </c>
      <c r="B44" s="189">
        <v>7404</v>
      </c>
      <c r="C44" s="189">
        <v>25.44</v>
      </c>
      <c r="D44" s="189">
        <v>589.4</v>
      </c>
      <c r="E44" s="189">
        <v>43.2</v>
      </c>
      <c r="F44" s="190">
        <v>1726.5</v>
      </c>
      <c r="H44" s="145">
        <f>(F44/$C$3)*100</f>
        <v>76.057268722466958</v>
      </c>
    </row>
    <row r="45" spans="1:36" ht="18">
      <c r="A45" s="189">
        <v>266</v>
      </c>
      <c r="B45" s="189">
        <v>7480.74</v>
      </c>
      <c r="C45" s="189">
        <v>26.06</v>
      </c>
      <c r="D45" s="189">
        <v>596.1</v>
      </c>
      <c r="E45" s="189">
        <v>43.7</v>
      </c>
      <c r="F45" s="190">
        <v>1748.7</v>
      </c>
      <c r="H45" s="145">
        <f>(F45/$C$3)*100</f>
        <v>77.035242290748897</v>
      </c>
    </row>
    <row r="46" spans="1:36">
      <c r="A46" s="191">
        <v>267</v>
      </c>
      <c r="B46" s="191">
        <v>3377.21</v>
      </c>
      <c r="C46" s="191">
        <v>33.33</v>
      </c>
      <c r="D46" s="191">
        <v>556.9</v>
      </c>
      <c r="E46" s="191">
        <v>59.8</v>
      </c>
      <c r="F46" s="191">
        <v>2394</v>
      </c>
      <c r="H46" s="197">
        <f>(AVERAGE(F46:F49))/$C$3*100</f>
        <v>93.979074889867832</v>
      </c>
    </row>
    <row r="47" spans="1:36">
      <c r="A47" s="191">
        <v>267</v>
      </c>
      <c r="B47" s="191">
        <v>11153.22</v>
      </c>
      <c r="C47" s="191">
        <v>19.3</v>
      </c>
      <c r="D47" s="191">
        <v>405.9</v>
      </c>
      <c r="E47" s="191">
        <v>47.5</v>
      </c>
      <c r="F47" s="191">
        <v>1901.9</v>
      </c>
      <c r="H47" s="197"/>
    </row>
    <row r="48" spans="1:36">
      <c r="A48" s="191">
        <v>267</v>
      </c>
      <c r="B48" s="191">
        <v>9966.7000000000007</v>
      </c>
      <c r="C48" s="191">
        <v>24.78</v>
      </c>
      <c r="D48" s="191">
        <v>397.8</v>
      </c>
      <c r="E48" s="191">
        <v>62.3</v>
      </c>
      <c r="F48" s="191">
        <v>2491.6999999999998</v>
      </c>
      <c r="H48" s="197"/>
    </row>
    <row r="49" spans="1:10">
      <c r="A49" s="191">
        <v>267</v>
      </c>
      <c r="B49" s="191">
        <v>5808.15</v>
      </c>
      <c r="C49" s="191">
        <v>17.54</v>
      </c>
      <c r="D49" s="191">
        <v>401.9</v>
      </c>
      <c r="E49" s="191">
        <v>43.6</v>
      </c>
      <c r="F49" s="191">
        <v>1745.7</v>
      </c>
      <c r="H49" s="197"/>
    </row>
    <row r="50" spans="1:10" ht="18">
      <c r="A50" s="189">
        <v>268</v>
      </c>
      <c r="B50" s="189">
        <v>7588.4</v>
      </c>
      <c r="C50" s="189">
        <v>23.31</v>
      </c>
      <c r="D50" s="189">
        <v>605.4</v>
      </c>
      <c r="E50" s="189">
        <v>38.5</v>
      </c>
      <c r="F50" s="190">
        <v>1540.1</v>
      </c>
      <c r="H50" s="145">
        <f>(F50/$C$3)*100</f>
        <v>67.845814977973561</v>
      </c>
    </row>
    <row r="51" spans="1:10" ht="18">
      <c r="A51" s="189">
        <v>269</v>
      </c>
      <c r="B51" s="189">
        <v>5463.85</v>
      </c>
      <c r="C51" s="189">
        <v>14.33</v>
      </c>
      <c r="D51" s="189">
        <v>599.79999999999995</v>
      </c>
      <c r="E51" s="189">
        <v>23.9</v>
      </c>
      <c r="F51" s="190">
        <v>955.7</v>
      </c>
      <c r="H51" s="145">
        <f t="shared" ref="H51:H58" si="6">(F51/$C$3)*100</f>
        <v>42.101321585903086</v>
      </c>
    </row>
    <row r="52" spans="1:10" ht="18">
      <c r="A52" s="189">
        <v>270</v>
      </c>
      <c r="B52" s="189">
        <v>4031.87</v>
      </c>
      <c r="C52" s="189">
        <v>19.79</v>
      </c>
      <c r="D52" s="189">
        <v>603.70000000000005</v>
      </c>
      <c r="E52" s="189">
        <v>32.799999999999997</v>
      </c>
      <c r="F52" s="190">
        <v>1311.2</v>
      </c>
      <c r="H52" s="145">
        <f t="shared" si="6"/>
        <v>57.76211453744493</v>
      </c>
    </row>
    <row r="53" spans="1:10" ht="18">
      <c r="A53" s="189">
        <v>271</v>
      </c>
      <c r="B53" s="189">
        <v>13177.57</v>
      </c>
      <c r="C53" s="189">
        <v>23.61</v>
      </c>
      <c r="D53" s="189">
        <v>591.4</v>
      </c>
      <c r="E53" s="189">
        <v>39.9</v>
      </c>
      <c r="F53" s="190">
        <v>1596.9</v>
      </c>
      <c r="H53" s="145">
        <f t="shared" si="6"/>
        <v>70.348017621145374</v>
      </c>
    </row>
    <row r="54" spans="1:10" ht="18">
      <c r="A54" s="189">
        <v>272</v>
      </c>
      <c r="B54" s="189">
        <v>8667.58</v>
      </c>
      <c r="C54" s="189">
        <v>11.92</v>
      </c>
      <c r="D54" s="189">
        <v>595</v>
      </c>
      <c r="E54" s="189">
        <v>20</v>
      </c>
      <c r="F54" s="190">
        <v>801.3</v>
      </c>
      <c r="H54" s="145">
        <f t="shared" si="6"/>
        <v>35.29955947136564</v>
      </c>
    </row>
    <row r="55" spans="1:10" ht="18">
      <c r="A55" s="189">
        <v>273</v>
      </c>
      <c r="B55" s="189">
        <v>7441.82</v>
      </c>
      <c r="C55" s="189">
        <v>13.53</v>
      </c>
      <c r="D55" s="189">
        <v>561.6</v>
      </c>
      <c r="E55" s="189">
        <v>24.1</v>
      </c>
      <c r="F55" s="190">
        <v>963.7</v>
      </c>
      <c r="H55" s="145">
        <f t="shared" si="6"/>
        <v>42.453744493392072</v>
      </c>
    </row>
    <row r="56" spans="1:10" ht="18">
      <c r="A56" s="189">
        <v>274</v>
      </c>
      <c r="B56" s="189">
        <v>2725.54</v>
      </c>
      <c r="C56" s="189">
        <v>14.05</v>
      </c>
      <c r="D56" s="189">
        <v>593</v>
      </c>
      <c r="E56" s="189">
        <v>23.7</v>
      </c>
      <c r="F56" s="190">
        <v>947.7</v>
      </c>
      <c r="H56" s="145">
        <f t="shared" si="6"/>
        <v>41.748898678414101</v>
      </c>
    </row>
    <row r="57" spans="1:10" ht="18">
      <c r="A57" s="189">
        <v>275</v>
      </c>
      <c r="B57" s="189">
        <v>8144.45</v>
      </c>
      <c r="C57" s="189">
        <v>17.8</v>
      </c>
      <c r="D57" s="189">
        <v>592.9</v>
      </c>
      <c r="E57" s="189">
        <v>30</v>
      </c>
      <c r="F57" s="190">
        <v>1200.9000000000001</v>
      </c>
      <c r="H57" s="145">
        <f t="shared" si="6"/>
        <v>52.903083700440533</v>
      </c>
    </row>
    <row r="58" spans="1:10" ht="18">
      <c r="A58" s="189">
        <v>276</v>
      </c>
      <c r="B58" s="189">
        <v>2848.11</v>
      </c>
      <c r="C58" s="189">
        <v>25.86</v>
      </c>
      <c r="D58" s="189">
        <v>585</v>
      </c>
      <c r="E58" s="189">
        <v>44.2</v>
      </c>
      <c r="F58" s="190">
        <v>1768.2</v>
      </c>
      <c r="H58" s="145">
        <f t="shared" si="6"/>
        <v>77.894273127753308</v>
      </c>
      <c r="J58" t="s">
        <v>887</v>
      </c>
    </row>
    <row r="59" spans="1:10">
      <c r="A59" s="192">
        <v>277</v>
      </c>
      <c r="B59" s="192">
        <v>5851.62</v>
      </c>
      <c r="C59" s="192">
        <v>40.39</v>
      </c>
      <c r="D59" s="192">
        <v>593.1</v>
      </c>
      <c r="E59" s="192">
        <v>68.099999999999994</v>
      </c>
      <c r="F59" s="192">
        <v>2724</v>
      </c>
      <c r="H59" s="199">
        <f>(AVERAGE(F59:F62))/$C$3*100</f>
        <v>155.32709251101323</v>
      </c>
      <c r="I59" s="41"/>
      <c r="J59" s="979">
        <f>(AVERAGE(F59:F61))/$C$3*100</f>
        <v>103.34948604992658</v>
      </c>
    </row>
    <row r="60" spans="1:10">
      <c r="A60" s="192">
        <v>277</v>
      </c>
      <c r="B60" s="192">
        <v>11380.95</v>
      </c>
      <c r="C60" s="192">
        <v>16.93</v>
      </c>
      <c r="D60" s="192">
        <v>403.9</v>
      </c>
      <c r="E60" s="192">
        <v>41.9</v>
      </c>
      <c r="F60" s="192">
        <v>1676.7</v>
      </c>
      <c r="H60" s="199"/>
      <c r="J60" s="979"/>
    </row>
    <row r="61" spans="1:10">
      <c r="A61" s="192">
        <v>277</v>
      </c>
      <c r="B61" s="192">
        <v>17101.400000000001</v>
      </c>
      <c r="C61" s="192">
        <v>26.13</v>
      </c>
      <c r="D61" s="192">
        <v>396.3</v>
      </c>
      <c r="E61" s="192">
        <v>65.900000000000006</v>
      </c>
      <c r="F61" s="192">
        <v>2637.4</v>
      </c>
      <c r="H61" s="199"/>
      <c r="J61" s="979"/>
    </row>
    <row r="62" spans="1:10">
      <c r="A62" s="192">
        <v>277</v>
      </c>
      <c r="B62" s="192">
        <v>39250.080000000002</v>
      </c>
      <c r="C62" s="192">
        <v>69.72</v>
      </c>
      <c r="D62" s="192">
        <v>394.7</v>
      </c>
      <c r="E62" s="192">
        <v>176.6</v>
      </c>
      <c r="F62" s="193">
        <v>7065.6</v>
      </c>
      <c r="H62" s="199"/>
      <c r="J62" s="979"/>
    </row>
    <row r="63" spans="1:10" ht="18">
      <c r="A63" s="189">
        <v>278</v>
      </c>
      <c r="B63" s="189">
        <v>7320.4</v>
      </c>
      <c r="C63" s="189">
        <v>28.7</v>
      </c>
      <c r="D63" s="189">
        <v>595</v>
      </c>
      <c r="E63" s="189">
        <v>48.2</v>
      </c>
      <c r="F63" s="190">
        <v>1929.4</v>
      </c>
      <c r="H63" s="145">
        <f t="shared" ref="H63:H73" si="7">(F63/$C$3)*100</f>
        <v>84.995594713656402</v>
      </c>
    </row>
    <row r="64" spans="1:10" ht="18">
      <c r="A64" s="189">
        <v>279</v>
      </c>
      <c r="B64" s="189">
        <v>3332.09</v>
      </c>
      <c r="C64" s="189">
        <v>19.48</v>
      </c>
      <c r="D64" s="189">
        <v>608.9</v>
      </c>
      <c r="E64" s="189">
        <v>32</v>
      </c>
      <c r="F64" s="190">
        <v>1279.7</v>
      </c>
      <c r="H64" s="145">
        <f t="shared" si="7"/>
        <v>56.374449339207054</v>
      </c>
    </row>
    <row r="65" spans="1:10" ht="18">
      <c r="A65" s="189">
        <v>280</v>
      </c>
      <c r="B65" s="189">
        <v>5039.7299999999996</v>
      </c>
      <c r="C65" s="189">
        <v>16.989999999999998</v>
      </c>
      <c r="D65" s="189">
        <v>603.4</v>
      </c>
      <c r="E65" s="189">
        <v>28.2</v>
      </c>
      <c r="F65" s="190">
        <v>1126.3</v>
      </c>
      <c r="H65" s="145">
        <f t="shared" si="7"/>
        <v>49.616740088105729</v>
      </c>
    </row>
    <row r="66" spans="1:10" ht="18">
      <c r="A66" s="189">
        <v>281</v>
      </c>
      <c r="B66" s="189">
        <v>19991.7</v>
      </c>
      <c r="C66" s="189">
        <v>26.48</v>
      </c>
      <c r="D66" s="189">
        <v>598.70000000000005</v>
      </c>
      <c r="E66" s="189">
        <v>44.2</v>
      </c>
      <c r="F66" s="190">
        <v>1769.2</v>
      </c>
      <c r="H66" s="145">
        <f t="shared" si="7"/>
        <v>77.93832599118943</v>
      </c>
    </row>
    <row r="67" spans="1:10" ht="18">
      <c r="A67" s="189">
        <v>282</v>
      </c>
      <c r="B67" s="189">
        <v>11222.59</v>
      </c>
      <c r="C67" s="189">
        <v>15.1</v>
      </c>
      <c r="D67" s="189">
        <v>588</v>
      </c>
      <c r="E67" s="189">
        <v>25.7</v>
      </c>
      <c r="F67" s="190">
        <v>1027.2</v>
      </c>
      <c r="H67" s="145">
        <f t="shared" si="7"/>
        <v>45.251101321585907</v>
      </c>
    </row>
    <row r="68" spans="1:10" ht="18">
      <c r="A68" s="189">
        <v>283</v>
      </c>
      <c r="B68" s="189">
        <v>19209.810000000001</v>
      </c>
      <c r="C68" s="189">
        <v>10.17</v>
      </c>
      <c r="D68" s="189">
        <v>600.5</v>
      </c>
      <c r="E68" s="189">
        <v>16.899999999999999</v>
      </c>
      <c r="F68" s="190">
        <v>677.4</v>
      </c>
      <c r="H68" s="145">
        <f t="shared" si="7"/>
        <v>29.841409691629956</v>
      </c>
    </row>
    <row r="69" spans="1:10" ht="18">
      <c r="A69" s="189">
        <v>284</v>
      </c>
      <c r="B69" s="189">
        <v>4742.42</v>
      </c>
      <c r="C69" s="189">
        <v>15.62</v>
      </c>
      <c r="D69" s="189">
        <v>594.1</v>
      </c>
      <c r="E69" s="189">
        <v>26.3</v>
      </c>
      <c r="F69" s="190">
        <v>1051.7</v>
      </c>
      <c r="H69" s="145">
        <f t="shared" si="7"/>
        <v>46.330396475770932</v>
      </c>
    </row>
    <row r="70" spans="1:10" ht="18">
      <c r="A70" s="189">
        <v>285</v>
      </c>
      <c r="B70" s="189">
        <v>6721.21</v>
      </c>
      <c r="C70" s="189">
        <v>20.83</v>
      </c>
      <c r="D70" s="189">
        <v>596.9</v>
      </c>
      <c r="E70" s="189">
        <v>34.9</v>
      </c>
      <c r="F70" s="190">
        <v>1395.9</v>
      </c>
      <c r="H70" s="145">
        <f t="shared" si="7"/>
        <v>61.493392070484589</v>
      </c>
    </row>
    <row r="71" spans="1:10" ht="18">
      <c r="A71" s="189">
        <v>286</v>
      </c>
      <c r="B71" s="189">
        <v>5440.93</v>
      </c>
      <c r="C71" s="189">
        <v>14.51</v>
      </c>
      <c r="D71" s="189">
        <v>602.5</v>
      </c>
      <c r="E71" s="189">
        <v>24.1</v>
      </c>
      <c r="F71" s="190">
        <v>963.3</v>
      </c>
      <c r="H71" s="145">
        <f t="shared" si="7"/>
        <v>42.436123348017617</v>
      </c>
    </row>
    <row r="72" spans="1:10" ht="18">
      <c r="A72" s="189">
        <v>287</v>
      </c>
      <c r="B72" s="189">
        <v>6011.4</v>
      </c>
      <c r="C72" s="189">
        <v>24.38</v>
      </c>
      <c r="D72" s="189">
        <v>590.5</v>
      </c>
      <c r="E72" s="189">
        <v>41.3</v>
      </c>
      <c r="F72" s="190">
        <v>1651.5</v>
      </c>
      <c r="H72" s="145">
        <f t="shared" si="7"/>
        <v>72.753303964757706</v>
      </c>
    </row>
    <row r="73" spans="1:10" ht="18">
      <c r="A73" s="189">
        <v>288</v>
      </c>
      <c r="B73" s="189">
        <v>10178.73</v>
      </c>
      <c r="C73" s="189">
        <v>18.940000000000001</v>
      </c>
      <c r="D73" s="189">
        <v>596.1</v>
      </c>
      <c r="E73" s="189">
        <v>31.8</v>
      </c>
      <c r="F73" s="190">
        <v>1270.9000000000001</v>
      </c>
      <c r="H73" s="145">
        <f t="shared" si="7"/>
        <v>55.986784140969171</v>
      </c>
    </row>
    <row r="74" spans="1:10">
      <c r="A74" s="194">
        <v>289</v>
      </c>
      <c r="B74" s="194">
        <v>20754.25</v>
      </c>
      <c r="C74" s="194">
        <v>31.84</v>
      </c>
      <c r="D74" s="194">
        <v>606</v>
      </c>
      <c r="E74" s="194">
        <v>52.5</v>
      </c>
      <c r="F74" s="194">
        <v>2101.6999999999998</v>
      </c>
      <c r="G74" s="140" t="s">
        <v>888</v>
      </c>
      <c r="H74" s="197">
        <f>(AVERAGE(F74:F77))/$C$3*100</f>
        <v>97.863436123348009</v>
      </c>
    </row>
    <row r="75" spans="1:10">
      <c r="A75" s="194">
        <v>289</v>
      </c>
      <c r="B75" s="194">
        <v>55674.5</v>
      </c>
      <c r="C75" s="194">
        <v>21.02</v>
      </c>
      <c r="D75" s="194">
        <v>397.5</v>
      </c>
      <c r="E75" s="194">
        <v>52.9</v>
      </c>
      <c r="F75" s="194">
        <v>2115.1999999999998</v>
      </c>
      <c r="H75" s="197"/>
    </row>
    <row r="76" spans="1:10">
      <c r="A76" s="194">
        <v>289</v>
      </c>
      <c r="B76" s="194">
        <v>68001.16</v>
      </c>
      <c r="C76" s="194">
        <v>24.34</v>
      </c>
      <c r="D76" s="194">
        <v>399</v>
      </c>
      <c r="E76" s="194">
        <v>61</v>
      </c>
      <c r="F76" s="194">
        <v>2440.1</v>
      </c>
      <c r="H76" s="197"/>
    </row>
    <row r="77" spans="1:10">
      <c r="A77" s="194">
        <v>289</v>
      </c>
      <c r="B77" s="194">
        <v>68288.490000000005</v>
      </c>
      <c r="C77" s="194">
        <v>22.29</v>
      </c>
      <c r="D77" s="194">
        <v>400</v>
      </c>
      <c r="E77" s="194">
        <v>55.7</v>
      </c>
      <c r="F77" s="194">
        <v>2229</v>
      </c>
      <c r="H77" s="197"/>
    </row>
    <row r="78" spans="1:10" ht="18">
      <c r="A78" s="189">
        <v>290</v>
      </c>
      <c r="B78" s="189">
        <v>31920.61</v>
      </c>
      <c r="C78" s="189">
        <v>18.3</v>
      </c>
      <c r="D78" s="189">
        <v>598.4</v>
      </c>
      <c r="E78" s="189">
        <v>30.6</v>
      </c>
      <c r="F78" s="190">
        <v>1223.3</v>
      </c>
      <c r="H78" s="145">
        <f t="shared" ref="H78:H80" si="8">(F78/$C$3)*100</f>
        <v>53.889867841409689</v>
      </c>
    </row>
    <row r="79" spans="1:10" ht="18">
      <c r="A79" s="189">
        <v>291</v>
      </c>
      <c r="B79" s="189">
        <v>2426.25</v>
      </c>
      <c r="C79" s="189">
        <v>7.74</v>
      </c>
      <c r="D79" s="189">
        <v>596.79999999999995</v>
      </c>
      <c r="E79" s="189">
        <v>13</v>
      </c>
      <c r="F79" s="190">
        <v>518.79999999999995</v>
      </c>
      <c r="H79" s="145">
        <f t="shared" si="8"/>
        <v>22.854625550660788</v>
      </c>
    </row>
    <row r="80" spans="1:10" ht="18">
      <c r="A80" s="189">
        <v>292</v>
      </c>
      <c r="B80" s="189">
        <v>12431.65</v>
      </c>
      <c r="C80" s="189">
        <v>28.76</v>
      </c>
      <c r="D80" s="189">
        <v>594.6</v>
      </c>
      <c r="E80" s="189">
        <v>48.4</v>
      </c>
      <c r="F80" s="190">
        <v>1934.7</v>
      </c>
      <c r="H80" s="145">
        <f t="shared" si="8"/>
        <v>85.229074889867846</v>
      </c>
      <c r="J80" t="s">
        <v>889</v>
      </c>
    </row>
    <row r="81" spans="1:10">
      <c r="A81" s="195">
        <v>293</v>
      </c>
      <c r="B81" s="195">
        <v>12941.67</v>
      </c>
      <c r="C81" s="195">
        <v>33.380000000000003</v>
      </c>
      <c r="D81" s="195">
        <v>574.4</v>
      </c>
      <c r="E81" s="195">
        <v>58.1</v>
      </c>
      <c r="F81" s="195">
        <v>2324.5</v>
      </c>
      <c r="H81" s="198">
        <f>(AVERAGE(F81:F84))/$C$3*100</f>
        <v>80.147577092511014</v>
      </c>
      <c r="J81" s="979">
        <f>(AVERAGE(F81,F83,F84))/$C$3*100</f>
        <v>98.750367107195288</v>
      </c>
    </row>
    <row r="82" spans="1:10">
      <c r="A82" s="195">
        <v>293</v>
      </c>
      <c r="B82" s="195">
        <v>9555.8799999999992</v>
      </c>
      <c r="C82" s="195">
        <v>5.59</v>
      </c>
      <c r="D82" s="195">
        <v>404.7</v>
      </c>
      <c r="E82" s="195">
        <v>13.8</v>
      </c>
      <c r="F82" s="196">
        <v>552.5</v>
      </c>
      <c r="H82" s="198"/>
      <c r="J82" s="979"/>
    </row>
    <row r="83" spans="1:10">
      <c r="A83" s="195">
        <v>293</v>
      </c>
      <c r="B83" s="195">
        <v>28747.89</v>
      </c>
      <c r="C83" s="195">
        <v>25.68</v>
      </c>
      <c r="D83" s="195">
        <v>405.5</v>
      </c>
      <c r="E83" s="195">
        <v>63.3</v>
      </c>
      <c r="F83" s="195">
        <v>2533.1999999999998</v>
      </c>
      <c r="H83" s="198"/>
      <c r="J83" s="979"/>
    </row>
    <row r="84" spans="1:10">
      <c r="A84" s="195">
        <v>293</v>
      </c>
      <c r="B84" s="195">
        <v>22551.040000000001</v>
      </c>
      <c r="C84" s="195">
        <v>18.77</v>
      </c>
      <c r="D84" s="195">
        <v>402.1</v>
      </c>
      <c r="E84" s="195">
        <v>46.7</v>
      </c>
      <c r="F84" s="195">
        <v>1867.2</v>
      </c>
      <c r="H84" s="198"/>
      <c r="J84" s="979"/>
    </row>
    <row r="85" spans="1:10" ht="18">
      <c r="A85" s="189">
        <v>294</v>
      </c>
      <c r="B85" s="189">
        <v>10278.17</v>
      </c>
      <c r="C85" s="189">
        <v>21.7</v>
      </c>
      <c r="D85" s="189">
        <v>597.70000000000005</v>
      </c>
      <c r="E85" s="189">
        <v>36.299999999999997</v>
      </c>
      <c r="F85" s="190">
        <v>1452.2</v>
      </c>
      <c r="H85" s="145">
        <f>(F85/$C$3)*100</f>
        <v>63.973568281938334</v>
      </c>
    </row>
    <row r="86" spans="1:10" ht="18" hidden="1">
      <c r="A86" s="189">
        <v>295</v>
      </c>
      <c r="B86" s="189">
        <v>7395.7</v>
      </c>
      <c r="C86" s="189">
        <v>47.83</v>
      </c>
      <c r="D86" s="189">
        <v>585</v>
      </c>
      <c r="E86" s="189">
        <v>81.8</v>
      </c>
      <c r="F86" s="190">
        <v>3270.4</v>
      </c>
      <c r="H86" s="144">
        <f>(F86/$C$3)*100</f>
        <v>144.07048458149779</v>
      </c>
    </row>
    <row r="88" spans="1:10">
      <c r="D88" s="276">
        <v>277</v>
      </c>
      <c r="E88" s="277"/>
      <c r="F88" s="278">
        <f>STDEV(F59:F62)</f>
        <v>2407.037777539023</v>
      </c>
      <c r="G88" s="279"/>
    </row>
    <row r="89" spans="1:10">
      <c r="D89" s="231"/>
      <c r="F89">
        <f>PERCENTILE(F59:F62,0.5)</f>
        <v>2680.7</v>
      </c>
      <c r="G89" s="280"/>
    </row>
    <row r="90" spans="1:10">
      <c r="D90" s="231"/>
      <c r="E90" s="140" t="s">
        <v>890</v>
      </c>
      <c r="F90">
        <f>F89+F88</f>
        <v>5087.7377775390232</v>
      </c>
      <c r="G90" s="281">
        <v>0.68</v>
      </c>
    </row>
    <row r="91" spans="1:10">
      <c r="D91" s="231"/>
      <c r="E91" s="140" t="s">
        <v>891</v>
      </c>
      <c r="F91">
        <f>F89+(2*F88)</f>
        <v>7494.7755550780457</v>
      </c>
      <c r="G91" s="281">
        <v>0.95</v>
      </c>
    </row>
    <row r="92" spans="1:10">
      <c r="D92" s="231"/>
      <c r="E92" s="140" t="s">
        <v>892</v>
      </c>
      <c r="F92">
        <f>F89+3*F88</f>
        <v>9901.8133326170682</v>
      </c>
      <c r="G92" s="282">
        <v>0.997</v>
      </c>
    </row>
    <row r="93" spans="1:10">
      <c r="D93" s="231"/>
      <c r="G93" s="280"/>
    </row>
    <row r="94" spans="1:10">
      <c r="D94" s="283"/>
      <c r="E94" s="284"/>
      <c r="F94" s="285">
        <f>F62-F91</f>
        <v>-429.17555507804536</v>
      </c>
      <c r="G94" s="286"/>
    </row>
    <row r="96" spans="1:10">
      <c r="D96">
        <v>293</v>
      </c>
      <c r="E96" s="277"/>
      <c r="F96" s="278">
        <f>STDEV(F81:F84)</f>
        <v>889.18631156055608</v>
      </c>
      <c r="G96" s="279"/>
    </row>
    <row r="97" spans="1:12">
      <c r="F97">
        <f>PERCENTILE(F81:F84,0.5)</f>
        <v>2095.85</v>
      </c>
      <c r="G97" s="280"/>
    </row>
    <row r="98" spans="1:12">
      <c r="E98" s="140" t="s">
        <v>890</v>
      </c>
      <c r="F98">
        <f>F97-F96</f>
        <v>1206.6636884394438</v>
      </c>
      <c r="G98" s="281">
        <v>0.68</v>
      </c>
    </row>
    <row r="99" spans="1:12">
      <c r="E99" s="140" t="s">
        <v>891</v>
      </c>
      <c r="F99">
        <f>F97-(2*F96)</f>
        <v>317.47737687888775</v>
      </c>
      <c r="G99" s="281">
        <v>0.95</v>
      </c>
    </row>
    <row r="100" spans="1:12">
      <c r="E100" s="140" t="s">
        <v>892</v>
      </c>
      <c r="F100">
        <f>F97-(3*F96)</f>
        <v>-571.70893468166832</v>
      </c>
      <c r="G100" s="282">
        <v>0.997</v>
      </c>
    </row>
    <row r="101" spans="1:12">
      <c r="G101" s="280"/>
    </row>
    <row r="102" spans="1:12">
      <c r="E102" s="284"/>
      <c r="F102" s="285">
        <f>F70-F99</f>
        <v>1078.4226231211123</v>
      </c>
      <c r="G102" s="286"/>
    </row>
    <row r="106" spans="1:12">
      <c r="A106" s="188" t="s">
        <v>550</v>
      </c>
      <c r="B106" s="188" t="s">
        <v>881</v>
      </c>
      <c r="C106" s="188" t="s">
        <v>893</v>
      </c>
      <c r="D106" s="188" t="s">
        <v>885</v>
      </c>
      <c r="E106" s="189" t="s">
        <v>894</v>
      </c>
    </row>
    <row r="107" spans="1:12">
      <c r="A107" s="189">
        <v>265</v>
      </c>
      <c r="B107" s="189">
        <v>7404</v>
      </c>
      <c r="C107" s="482" t="s">
        <v>198</v>
      </c>
      <c r="D107" s="190">
        <v>1726.5</v>
      </c>
      <c r="E107" s="189" t="s">
        <v>211</v>
      </c>
      <c r="F107" s="581"/>
    </row>
    <row r="108" spans="1:12">
      <c r="A108" s="189">
        <v>266</v>
      </c>
      <c r="B108" s="189">
        <v>7480.74</v>
      </c>
      <c r="C108" s="482" t="s">
        <v>213</v>
      </c>
      <c r="D108" s="190">
        <v>1748.7</v>
      </c>
      <c r="E108" s="189" t="s">
        <v>211</v>
      </c>
      <c r="H108" s="405"/>
      <c r="I108" s="405"/>
      <c r="J108" s="405"/>
      <c r="K108" s="405"/>
      <c r="L108" s="583"/>
    </row>
    <row r="109" spans="1:12">
      <c r="A109" s="191">
        <v>267</v>
      </c>
      <c r="B109" s="191">
        <v>3377.21</v>
      </c>
      <c r="C109" s="482" t="s">
        <v>223</v>
      </c>
      <c r="D109" s="191">
        <v>2394</v>
      </c>
      <c r="E109" s="189" t="s">
        <v>199</v>
      </c>
    </row>
    <row r="110" spans="1:12">
      <c r="A110" s="189">
        <v>268</v>
      </c>
      <c r="B110" s="191"/>
      <c r="C110" s="482" t="s">
        <v>232</v>
      </c>
      <c r="D110" s="190">
        <v>1540.1</v>
      </c>
      <c r="E110" s="189" t="s">
        <v>211</v>
      </c>
    </row>
    <row r="111" spans="1:12">
      <c r="A111" s="189">
        <v>269</v>
      </c>
      <c r="B111" s="189">
        <v>5463.85</v>
      </c>
      <c r="C111" s="482" t="s">
        <v>241</v>
      </c>
      <c r="D111" s="190">
        <v>955.7</v>
      </c>
      <c r="E111" s="189" t="s">
        <v>211</v>
      </c>
    </row>
    <row r="112" spans="1:12">
      <c r="A112" s="189">
        <v>270</v>
      </c>
      <c r="B112" s="189">
        <v>4031.87</v>
      </c>
      <c r="C112" s="482" t="s">
        <v>248</v>
      </c>
      <c r="D112" s="190">
        <v>1311.2</v>
      </c>
      <c r="E112" s="189" t="s">
        <v>211</v>
      </c>
      <c r="F112" s="582"/>
    </row>
    <row r="113" spans="1:9">
      <c r="A113" s="189">
        <v>271</v>
      </c>
      <c r="B113" s="189">
        <v>13177.57</v>
      </c>
      <c r="C113" s="481" t="s">
        <v>255</v>
      </c>
      <c r="D113" s="190">
        <v>1596.9</v>
      </c>
      <c r="E113" s="189" t="s">
        <v>211</v>
      </c>
    </row>
    <row r="114" spans="1:9">
      <c r="A114" s="189">
        <v>272</v>
      </c>
      <c r="B114" s="189">
        <v>8667.58</v>
      </c>
      <c r="C114" s="481" t="s">
        <v>263</v>
      </c>
      <c r="D114" s="190">
        <v>801.3</v>
      </c>
      <c r="E114" s="189" t="s">
        <v>211</v>
      </c>
    </row>
    <row r="115" spans="1:9">
      <c r="A115" s="189">
        <v>273</v>
      </c>
      <c r="B115" s="189">
        <v>7441.82</v>
      </c>
      <c r="C115" s="481" t="s">
        <v>270</v>
      </c>
      <c r="D115" s="190">
        <v>963.7</v>
      </c>
      <c r="E115" s="189" t="s">
        <v>211</v>
      </c>
    </row>
    <row r="116" spans="1:9">
      <c r="A116" s="189">
        <v>274</v>
      </c>
      <c r="B116" s="189">
        <v>2725.54</v>
      </c>
      <c r="C116" s="483" t="s">
        <v>278</v>
      </c>
      <c r="D116" s="190">
        <v>947.7</v>
      </c>
      <c r="E116" s="189" t="s">
        <v>211</v>
      </c>
      <c r="G116" s="134" t="s">
        <v>871</v>
      </c>
      <c r="H116" s="11"/>
      <c r="I116" s="134" t="s">
        <v>438</v>
      </c>
    </row>
    <row r="117" spans="1:9">
      <c r="A117" s="189">
        <v>275</v>
      </c>
      <c r="B117" s="189">
        <v>8144.45</v>
      </c>
      <c r="C117" s="483" t="s">
        <v>284</v>
      </c>
      <c r="D117" s="190">
        <v>1200.9000000000001</v>
      </c>
      <c r="E117" s="189" t="s">
        <v>211</v>
      </c>
      <c r="G117" s="51" t="s">
        <v>442</v>
      </c>
      <c r="H117" s="11"/>
      <c r="I117" s="51">
        <v>552</v>
      </c>
    </row>
    <row r="118" spans="1:9">
      <c r="A118" s="189">
        <v>276</v>
      </c>
      <c r="B118" s="189">
        <v>2848.11</v>
      </c>
      <c r="C118" s="483" t="s">
        <v>293</v>
      </c>
      <c r="D118" s="190">
        <v>1768.2</v>
      </c>
      <c r="E118" s="189" t="s">
        <v>211</v>
      </c>
      <c r="G118" s="51" t="s">
        <v>445</v>
      </c>
      <c r="H118" s="11"/>
      <c r="I118" s="51">
        <v>2270</v>
      </c>
    </row>
    <row r="119" spans="1:9">
      <c r="A119" s="192">
        <v>277</v>
      </c>
      <c r="B119" s="192">
        <v>5851.62</v>
      </c>
      <c r="C119" s="483" t="s">
        <v>297</v>
      </c>
      <c r="D119" s="192">
        <v>2724</v>
      </c>
      <c r="E119" s="189" t="s">
        <v>199</v>
      </c>
      <c r="G119" s="51" t="s">
        <v>447</v>
      </c>
      <c r="H119" s="11"/>
      <c r="I119" s="51">
        <v>3200</v>
      </c>
    </row>
    <row r="120" spans="1:9">
      <c r="A120" s="189">
        <v>278</v>
      </c>
      <c r="B120" s="189">
        <v>7320.4</v>
      </c>
      <c r="C120" s="483" t="s">
        <v>302</v>
      </c>
      <c r="D120" s="190">
        <v>1929.4</v>
      </c>
      <c r="E120" s="189" t="s">
        <v>211</v>
      </c>
    </row>
    <row r="121" spans="1:9">
      <c r="A121" s="189">
        <v>279</v>
      </c>
      <c r="B121" s="189">
        <v>3332.09</v>
      </c>
      <c r="C121" s="47" t="s">
        <v>334</v>
      </c>
      <c r="D121" s="190">
        <v>1279.7</v>
      </c>
      <c r="E121" s="189" t="s">
        <v>211</v>
      </c>
    </row>
    <row r="122" spans="1:9">
      <c r="A122" s="189">
        <v>280</v>
      </c>
      <c r="B122" s="189">
        <v>5039.7299999999996</v>
      </c>
      <c r="C122" s="47" t="s">
        <v>343</v>
      </c>
      <c r="D122" s="190">
        <v>1126.3</v>
      </c>
      <c r="E122" s="189" t="s">
        <v>211</v>
      </c>
    </row>
    <row r="123" spans="1:9">
      <c r="A123" s="189">
        <v>281</v>
      </c>
      <c r="B123" s="189">
        <v>19991.7</v>
      </c>
      <c r="C123" s="47" t="s">
        <v>349</v>
      </c>
      <c r="D123" s="190">
        <v>1769.2</v>
      </c>
      <c r="E123" s="189" t="s">
        <v>211</v>
      </c>
    </row>
    <row r="124" spans="1:9">
      <c r="A124" s="189">
        <v>282</v>
      </c>
      <c r="B124" s="189">
        <v>11222.59</v>
      </c>
      <c r="C124" s="47" t="s">
        <v>356</v>
      </c>
      <c r="D124" s="190">
        <v>1027.2</v>
      </c>
      <c r="E124" s="189" t="s">
        <v>211</v>
      </c>
    </row>
    <row r="125" spans="1:9">
      <c r="A125" s="189">
        <v>283</v>
      </c>
      <c r="B125" s="189">
        <v>19209.810000000001</v>
      </c>
      <c r="C125" s="47" t="s">
        <v>363</v>
      </c>
      <c r="D125" s="190">
        <v>677.4</v>
      </c>
      <c r="E125" s="189" t="s">
        <v>211</v>
      </c>
    </row>
    <row r="126" spans="1:9">
      <c r="A126" s="189">
        <v>284</v>
      </c>
      <c r="B126" s="189">
        <v>4742.42</v>
      </c>
      <c r="C126" s="48" t="s">
        <v>375</v>
      </c>
      <c r="D126" s="190">
        <v>1051.7</v>
      </c>
      <c r="E126" s="189" t="s">
        <v>211</v>
      </c>
    </row>
    <row r="127" spans="1:9">
      <c r="A127" s="189">
        <v>285</v>
      </c>
      <c r="B127" s="189">
        <v>6721.21</v>
      </c>
      <c r="C127" s="48" t="s">
        <v>383</v>
      </c>
      <c r="D127" s="190">
        <v>1395.9</v>
      </c>
      <c r="E127" s="189" t="s">
        <v>211</v>
      </c>
    </row>
    <row r="128" spans="1:9">
      <c r="A128" s="189">
        <v>286</v>
      </c>
      <c r="B128" s="189">
        <v>5440.93</v>
      </c>
      <c r="C128" s="482" t="s">
        <v>310</v>
      </c>
      <c r="D128" s="190">
        <v>963.3</v>
      </c>
      <c r="E128" s="189" t="s">
        <v>211</v>
      </c>
    </row>
    <row r="129" spans="1:6">
      <c r="A129" s="189">
        <v>288</v>
      </c>
      <c r="B129" s="189">
        <v>10178.73</v>
      </c>
      <c r="C129" s="48" t="s">
        <v>393</v>
      </c>
      <c r="D129" s="190">
        <v>1270.9000000000001</v>
      </c>
      <c r="E129" s="189" t="s">
        <v>211</v>
      </c>
    </row>
    <row r="130" spans="1:6">
      <c r="A130" s="194">
        <v>289</v>
      </c>
      <c r="B130" s="194">
        <v>20754.25</v>
      </c>
      <c r="C130" s="48" t="s">
        <v>400</v>
      </c>
      <c r="D130" s="194">
        <v>2101.6999999999998</v>
      </c>
      <c r="E130" s="189" t="s">
        <v>211</v>
      </c>
    </row>
    <row r="131" spans="1:6">
      <c r="A131" s="189">
        <v>290</v>
      </c>
      <c r="B131" s="189">
        <v>31920.61</v>
      </c>
      <c r="C131" s="48" t="s">
        <v>404</v>
      </c>
      <c r="D131" s="190">
        <v>1223.3</v>
      </c>
      <c r="E131" s="189" t="s">
        <v>211</v>
      </c>
    </row>
    <row r="132" spans="1:6">
      <c r="A132" s="189">
        <v>291</v>
      </c>
      <c r="B132" s="189">
        <v>2426.25</v>
      </c>
      <c r="C132" s="483" t="s">
        <v>314</v>
      </c>
      <c r="D132" s="591">
        <v>518.79999999999995</v>
      </c>
      <c r="E132" s="189" t="s">
        <v>199</v>
      </c>
    </row>
    <row r="133" spans="1:6">
      <c r="A133" s="189">
        <v>292</v>
      </c>
      <c r="B133" s="189">
        <v>12431.65</v>
      </c>
      <c r="C133" s="481" t="s">
        <v>318</v>
      </c>
      <c r="D133" s="190">
        <v>1934.7</v>
      </c>
      <c r="E133" s="189" t="s">
        <v>211</v>
      </c>
    </row>
    <row r="134" spans="1:6">
      <c r="A134" s="195">
        <v>293</v>
      </c>
      <c r="B134" s="195">
        <v>12941.67</v>
      </c>
      <c r="C134" s="481" t="s">
        <v>321</v>
      </c>
      <c r="D134" s="195">
        <v>2324.5</v>
      </c>
      <c r="E134" s="189" t="s">
        <v>199</v>
      </c>
    </row>
    <row r="135" spans="1:6">
      <c r="A135" s="189">
        <v>294</v>
      </c>
      <c r="B135" s="189">
        <v>10278.17</v>
      </c>
      <c r="C135" s="481" t="s">
        <v>326</v>
      </c>
      <c r="D135" s="190">
        <v>1452.2</v>
      </c>
      <c r="E135" s="189" t="s">
        <v>211</v>
      </c>
    </row>
    <row r="136" spans="1:6" hidden="1">
      <c r="A136" s="189">
        <v>295</v>
      </c>
      <c r="B136" s="189">
        <v>7395.7</v>
      </c>
      <c r="C136" s="378" t="s">
        <v>414</v>
      </c>
      <c r="D136" s="190">
        <v>3270.4</v>
      </c>
      <c r="E136" s="189"/>
    </row>
    <row r="139" spans="1:6">
      <c r="F139" s="62"/>
    </row>
  </sheetData>
  <mergeCells count="3">
    <mergeCell ref="J81:J84"/>
    <mergeCell ref="J59:J62"/>
    <mergeCell ref="A41:B42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31A1C-0A54-4FC9-B0A8-B9A93F476348}">
  <dimension ref="A1:FL57"/>
  <sheetViews>
    <sheetView workbookViewId="0">
      <selection activeCell="BU14" sqref="BU14"/>
    </sheetView>
  </sheetViews>
  <sheetFormatPr defaultColWidth="9" defaultRowHeight="14.25"/>
  <cols>
    <col min="1" max="1" width="9" style="203"/>
    <col min="2" max="2" width="16.25" style="203" bestFit="1" customWidth="1"/>
    <col min="3" max="3" width="9" style="203"/>
    <col min="4" max="4" width="11.25" style="203" customWidth="1"/>
    <col min="5" max="5" width="9.25" style="203" bestFit="1" customWidth="1"/>
    <col min="6" max="6" width="10" style="203" bestFit="1" customWidth="1"/>
    <col min="7" max="8" width="13.25" style="203" bestFit="1" customWidth="1"/>
    <col min="9" max="9" width="9.25" style="203" bestFit="1" customWidth="1"/>
    <col min="10" max="10" width="9.25" style="203" customWidth="1"/>
    <col min="11" max="12" width="12.25" style="203" bestFit="1" customWidth="1"/>
    <col min="13" max="13" width="10.25" style="203" bestFit="1" customWidth="1"/>
    <col min="14" max="14" width="10.75" style="203" bestFit="1" customWidth="1"/>
    <col min="15" max="15" width="9.25" style="203" bestFit="1" customWidth="1"/>
    <col min="16" max="16" width="11.25" style="203" bestFit="1" customWidth="1"/>
    <col min="17" max="17" width="12.25" style="203" bestFit="1" customWidth="1"/>
    <col min="18" max="18" width="11.25" style="203" bestFit="1" customWidth="1"/>
    <col min="19" max="19" width="11.75" style="203" bestFit="1" customWidth="1"/>
    <col min="20" max="20" width="12.75" style="203" bestFit="1" customWidth="1"/>
    <col min="21" max="21" width="7.25" style="203" bestFit="1" customWidth="1"/>
    <col min="22" max="22" width="9.25" style="203" bestFit="1" customWidth="1"/>
    <col min="23" max="23" width="8.25" style="203" bestFit="1" customWidth="1"/>
    <col min="24" max="24" width="9.25" style="203" bestFit="1" customWidth="1"/>
    <col min="25" max="25" width="6.75" style="203" bestFit="1" customWidth="1"/>
    <col min="26" max="26" width="9.25" style="203" bestFit="1" customWidth="1"/>
    <col min="27" max="28" width="10.75" style="203" bestFit="1" customWidth="1"/>
    <col min="29" max="29" width="11.25" style="203" bestFit="1" customWidth="1"/>
    <col min="30" max="30" width="15.25" style="203" bestFit="1" customWidth="1"/>
    <col min="31" max="31" width="8.25" style="203" bestFit="1" customWidth="1"/>
    <col min="32" max="32" width="10.75" style="203" bestFit="1" customWidth="1"/>
    <col min="33" max="33" width="10.25" style="203" bestFit="1" customWidth="1"/>
    <col min="34" max="34" width="9.25" style="203" bestFit="1" customWidth="1"/>
    <col min="35" max="35" width="10.25" style="203" bestFit="1" customWidth="1"/>
    <col min="36" max="36" width="10.75" style="203" bestFit="1" customWidth="1"/>
    <col min="37" max="61" width="10.75" style="203" customWidth="1"/>
    <col min="62" max="62" width="15.25" style="203" bestFit="1" customWidth="1"/>
    <col min="63" max="103" width="10.75" style="203" customWidth="1"/>
    <col min="104" max="104" width="14.75" style="203" bestFit="1" customWidth="1"/>
    <col min="105" max="105" width="10" style="203" bestFit="1" customWidth="1"/>
    <col min="106" max="107" width="13.25" style="203" bestFit="1" customWidth="1"/>
    <col min="108" max="108" width="9.25" style="203" bestFit="1" customWidth="1"/>
    <col min="109" max="109" width="8.25" style="203" bestFit="1" customWidth="1"/>
    <col min="110" max="110" width="12.25" style="203" bestFit="1" customWidth="1"/>
    <col min="111" max="111" width="10.25" style="203" bestFit="1" customWidth="1"/>
    <col min="112" max="112" width="10.75" style="203" bestFit="1" customWidth="1"/>
    <col min="113" max="113" width="9.25" style="203" bestFit="1" customWidth="1"/>
    <col min="114" max="114" width="11.25" style="203" bestFit="1" customWidth="1"/>
    <col min="115" max="115" width="12.25" style="203" bestFit="1" customWidth="1"/>
    <col min="116" max="116" width="11.25" style="203" bestFit="1" customWidth="1"/>
    <col min="117" max="117" width="11.75" style="203" bestFit="1" customWidth="1"/>
    <col min="118" max="118" width="12.75" style="203" bestFit="1" customWidth="1"/>
    <col min="119" max="119" width="11" style="203" bestFit="1" customWidth="1"/>
    <col min="120" max="120" width="8.5" style="203" bestFit="1" customWidth="1"/>
    <col min="121" max="121" width="8.25" style="203" bestFit="1" customWidth="1"/>
    <col min="122" max="122" width="9.25" style="203" bestFit="1" customWidth="1"/>
    <col min="123" max="123" width="11" style="203" bestFit="1" customWidth="1"/>
    <col min="124" max="124" width="9.25" style="203" bestFit="1" customWidth="1"/>
    <col min="125" max="126" width="10.75" style="203" bestFit="1" customWidth="1"/>
    <col min="127" max="127" width="11.25" style="203" bestFit="1" customWidth="1"/>
    <col min="128" max="128" width="15.25" style="203" bestFit="1" customWidth="1"/>
    <col min="129" max="129" width="10" style="203" bestFit="1" customWidth="1"/>
    <col min="130" max="130" width="10.75" style="203" bestFit="1" customWidth="1"/>
    <col min="131" max="131" width="10.25" style="203" bestFit="1" customWidth="1"/>
    <col min="132" max="132" width="9.25" style="203" bestFit="1" customWidth="1"/>
    <col min="133" max="133" width="10.25" style="203" bestFit="1" customWidth="1"/>
    <col min="134" max="134" width="7" style="203" bestFit="1" customWidth="1"/>
    <col min="135" max="135" width="10.75" style="203" bestFit="1" customWidth="1"/>
    <col min="136" max="16384" width="9" style="203"/>
  </cols>
  <sheetData>
    <row r="1" spans="1:168" ht="15.75" customHeight="1">
      <c r="AL1" s="983" t="s">
        <v>895</v>
      </c>
      <c r="AM1" s="983"/>
      <c r="AN1" s="983"/>
      <c r="AO1" s="983"/>
      <c r="AP1" s="983"/>
      <c r="AQ1" s="983"/>
      <c r="AR1" s="983"/>
      <c r="AS1" s="983"/>
      <c r="AT1" s="983"/>
      <c r="AU1" s="983"/>
      <c r="AV1" s="983" t="s">
        <v>895</v>
      </c>
      <c r="AW1" s="983"/>
      <c r="AX1" s="983"/>
      <c r="AY1" s="983"/>
      <c r="AZ1" s="983"/>
      <c r="BA1" s="983"/>
      <c r="BB1" s="983"/>
      <c r="BC1" s="983"/>
      <c r="BD1" s="983"/>
      <c r="BE1" s="983"/>
      <c r="BF1" s="983"/>
      <c r="BG1" s="983"/>
      <c r="BH1" s="983" t="s">
        <v>895</v>
      </c>
      <c r="BI1" s="983"/>
      <c r="BJ1" s="983"/>
      <c r="BK1" s="983"/>
      <c r="BL1" s="983"/>
      <c r="BM1" s="983"/>
      <c r="BN1" s="983"/>
      <c r="BO1" s="983"/>
      <c r="BP1" s="983"/>
      <c r="BQ1" s="983"/>
      <c r="BS1" s="223" t="s">
        <v>896</v>
      </c>
      <c r="BT1" s="223" t="s">
        <v>492</v>
      </c>
      <c r="BU1" s="223" t="s">
        <v>494</v>
      </c>
      <c r="BV1" s="223" t="s">
        <v>489</v>
      </c>
      <c r="BW1" s="223" t="s">
        <v>897</v>
      </c>
      <c r="BX1" s="223" t="s">
        <v>493</v>
      </c>
      <c r="BY1" s="223" t="s">
        <v>491</v>
      </c>
      <c r="BZ1" s="223" t="s">
        <v>488</v>
      </c>
      <c r="CA1" s="223" t="s">
        <v>898</v>
      </c>
      <c r="CB1" s="224" t="s">
        <v>899</v>
      </c>
      <c r="CC1" s="224" t="s">
        <v>900</v>
      </c>
      <c r="CD1" s="224" t="s">
        <v>901</v>
      </c>
      <c r="CE1" s="224" t="s">
        <v>902</v>
      </c>
      <c r="CF1" s="224" t="s">
        <v>903</v>
      </c>
      <c r="CG1" s="224" t="s">
        <v>498</v>
      </c>
      <c r="CH1" s="224" t="s">
        <v>497</v>
      </c>
      <c r="CI1" s="224" t="s">
        <v>904</v>
      </c>
      <c r="CJ1" s="224" t="s">
        <v>905</v>
      </c>
      <c r="CK1" s="224" t="s">
        <v>495</v>
      </c>
      <c r="CL1" s="227" t="s">
        <v>500</v>
      </c>
      <c r="CM1" s="224" t="s">
        <v>906</v>
      </c>
      <c r="CN1" s="224" t="s">
        <v>499</v>
      </c>
      <c r="CO1" s="224" t="s">
        <v>907</v>
      </c>
      <c r="CP1" s="224" t="s">
        <v>908</v>
      </c>
      <c r="CQ1" s="224" t="s">
        <v>909</v>
      </c>
      <c r="CR1" s="224" t="s">
        <v>910</v>
      </c>
      <c r="CS1" s="224" t="s">
        <v>911</v>
      </c>
      <c r="CT1" s="224" t="s">
        <v>912</v>
      </c>
      <c r="CU1" s="224" t="s">
        <v>913</v>
      </c>
      <c r="CV1" s="224" t="s">
        <v>914</v>
      </c>
      <c r="CW1" s="224" t="s">
        <v>915</v>
      </c>
      <c r="CX1" s="224" t="s">
        <v>916</v>
      </c>
      <c r="CZ1" s="223" t="s">
        <v>896</v>
      </c>
      <c r="DA1" s="223" t="s">
        <v>492</v>
      </c>
      <c r="DB1" s="223" t="s">
        <v>494</v>
      </c>
      <c r="DC1" s="223" t="s">
        <v>489</v>
      </c>
      <c r="DD1" s="223" t="s">
        <v>897</v>
      </c>
      <c r="DE1" s="223" t="s">
        <v>493</v>
      </c>
      <c r="DF1" s="223" t="s">
        <v>491</v>
      </c>
      <c r="DG1" s="223" t="s">
        <v>488</v>
      </c>
      <c r="DH1" s="223" t="s">
        <v>898</v>
      </c>
      <c r="DI1" s="224" t="s">
        <v>899</v>
      </c>
      <c r="DJ1" s="224" t="s">
        <v>900</v>
      </c>
      <c r="DK1" s="224" t="s">
        <v>901</v>
      </c>
      <c r="DL1" s="224" t="s">
        <v>902</v>
      </c>
      <c r="DM1" s="224" t="s">
        <v>903</v>
      </c>
      <c r="DN1" s="224" t="s">
        <v>498</v>
      </c>
      <c r="DO1" s="224" t="s">
        <v>497</v>
      </c>
      <c r="DP1" s="224" t="s">
        <v>904</v>
      </c>
      <c r="DQ1" s="224" t="s">
        <v>905</v>
      </c>
      <c r="DR1" s="224" t="s">
        <v>495</v>
      </c>
      <c r="DS1" s="227" t="s">
        <v>500</v>
      </c>
      <c r="DT1" s="224" t="s">
        <v>906</v>
      </c>
      <c r="DU1" s="224" t="s">
        <v>499</v>
      </c>
      <c r="DV1" s="224" t="s">
        <v>907</v>
      </c>
      <c r="DW1" s="224" t="s">
        <v>908</v>
      </c>
      <c r="DX1" s="224" t="s">
        <v>909</v>
      </c>
      <c r="DY1" s="224" t="s">
        <v>910</v>
      </c>
      <c r="DZ1" s="224" t="s">
        <v>911</v>
      </c>
      <c r="EA1" s="224" t="s">
        <v>912</v>
      </c>
      <c r="EB1" s="224" t="s">
        <v>913</v>
      </c>
      <c r="EC1" s="224" t="s">
        <v>914</v>
      </c>
      <c r="ED1" s="224" t="s">
        <v>915</v>
      </c>
      <c r="EE1" s="224" t="s">
        <v>916</v>
      </c>
      <c r="EG1" s="223" t="s">
        <v>896</v>
      </c>
      <c r="EH1" s="223" t="s">
        <v>492</v>
      </c>
      <c r="EI1" s="223" t="s">
        <v>494</v>
      </c>
      <c r="EJ1" s="223" t="s">
        <v>489</v>
      </c>
      <c r="EK1" s="223" t="s">
        <v>897</v>
      </c>
      <c r="EL1" s="223" t="s">
        <v>493</v>
      </c>
      <c r="EM1" s="223" t="s">
        <v>491</v>
      </c>
      <c r="EN1" s="223" t="s">
        <v>488</v>
      </c>
      <c r="EO1" s="223" t="s">
        <v>898</v>
      </c>
      <c r="EP1" s="224" t="s">
        <v>899</v>
      </c>
      <c r="EQ1" s="224" t="s">
        <v>900</v>
      </c>
      <c r="ER1" s="224" t="s">
        <v>901</v>
      </c>
      <c r="ES1" s="224" t="s">
        <v>902</v>
      </c>
      <c r="ET1" s="224" t="s">
        <v>903</v>
      </c>
      <c r="EU1" s="224" t="s">
        <v>498</v>
      </c>
      <c r="EV1" s="224" t="s">
        <v>497</v>
      </c>
      <c r="EW1" s="224" t="s">
        <v>904</v>
      </c>
      <c r="EX1" s="224" t="s">
        <v>905</v>
      </c>
      <c r="EY1" s="224" t="s">
        <v>495</v>
      </c>
      <c r="EZ1" s="227" t="s">
        <v>500</v>
      </c>
      <c r="FA1" s="224" t="s">
        <v>906</v>
      </c>
      <c r="FB1" s="224" t="s">
        <v>499</v>
      </c>
      <c r="FC1" s="224" t="s">
        <v>907</v>
      </c>
      <c r="FD1" s="224" t="s">
        <v>908</v>
      </c>
      <c r="FE1" s="224" t="s">
        <v>909</v>
      </c>
      <c r="FF1" s="224" t="s">
        <v>910</v>
      </c>
      <c r="FG1" s="224" t="s">
        <v>911</v>
      </c>
      <c r="FH1" s="224" t="s">
        <v>912</v>
      </c>
      <c r="FI1" s="224" t="s">
        <v>913</v>
      </c>
      <c r="FJ1" s="224" t="s">
        <v>914</v>
      </c>
      <c r="FK1" s="224" t="s">
        <v>915</v>
      </c>
      <c r="FL1" s="224" t="s">
        <v>916</v>
      </c>
    </row>
    <row r="2" spans="1:168" s="217" customFormat="1">
      <c r="A2" s="217" t="s">
        <v>917</v>
      </c>
      <c r="B2" s="982" t="s">
        <v>90</v>
      </c>
      <c r="C2" s="982"/>
      <c r="D2" s="220" t="s">
        <v>918</v>
      </c>
      <c r="E2" s="220" t="s">
        <v>919</v>
      </c>
      <c r="F2" s="220" t="s">
        <v>920</v>
      </c>
      <c r="G2" s="220" t="s">
        <v>921</v>
      </c>
      <c r="H2" s="220" t="s">
        <v>922</v>
      </c>
      <c r="I2" s="220" t="s">
        <v>923</v>
      </c>
      <c r="J2" s="220" t="s">
        <v>924</v>
      </c>
      <c r="K2" s="220" t="s">
        <v>925</v>
      </c>
      <c r="L2" s="220" t="s">
        <v>926</v>
      </c>
      <c r="M2" s="220" t="s">
        <v>927</v>
      </c>
      <c r="N2" s="220" t="s">
        <v>928</v>
      </c>
      <c r="O2" s="220" t="s">
        <v>929</v>
      </c>
      <c r="P2" s="220" t="s">
        <v>930</v>
      </c>
      <c r="Q2" s="220" t="s">
        <v>931</v>
      </c>
      <c r="R2" s="220" t="s">
        <v>932</v>
      </c>
      <c r="S2" s="220" t="s">
        <v>933</v>
      </c>
      <c r="T2" s="220" t="s">
        <v>934</v>
      </c>
      <c r="U2" s="220" t="s">
        <v>935</v>
      </c>
      <c r="V2" s="220" t="s">
        <v>936</v>
      </c>
      <c r="W2" s="220" t="s">
        <v>937</v>
      </c>
      <c r="X2" s="220" t="s">
        <v>938</v>
      </c>
      <c r="Y2" s="220" t="s">
        <v>939</v>
      </c>
      <c r="Z2" s="220" t="s">
        <v>940</v>
      </c>
      <c r="AA2" s="220" t="s">
        <v>941</v>
      </c>
      <c r="AB2" s="220" t="s">
        <v>942</v>
      </c>
      <c r="AC2" s="220" t="s">
        <v>943</v>
      </c>
      <c r="AD2" s="220" t="s">
        <v>944</v>
      </c>
      <c r="AE2" s="220" t="s">
        <v>945</v>
      </c>
      <c r="AF2" s="220" t="s">
        <v>946</v>
      </c>
      <c r="AG2" s="220" t="s">
        <v>947</v>
      </c>
      <c r="AH2" s="220" t="s">
        <v>948</v>
      </c>
      <c r="AI2" s="220" t="s">
        <v>949</v>
      </c>
      <c r="AJ2" s="220" t="s">
        <v>950</v>
      </c>
      <c r="AK2" s="220"/>
      <c r="AL2" s="220" t="s">
        <v>919</v>
      </c>
      <c r="AM2" s="220" t="s">
        <v>920</v>
      </c>
      <c r="AN2" s="220" t="s">
        <v>921</v>
      </c>
      <c r="AO2" s="220" t="s">
        <v>922</v>
      </c>
      <c r="AP2" s="220" t="s">
        <v>923</v>
      </c>
      <c r="AQ2" s="220" t="s">
        <v>924</v>
      </c>
      <c r="AR2" s="220" t="s">
        <v>925</v>
      </c>
      <c r="AS2" s="220" t="s">
        <v>926</v>
      </c>
      <c r="AT2" s="220" t="s">
        <v>927</v>
      </c>
      <c r="AU2" s="220" t="s">
        <v>928</v>
      </c>
      <c r="AV2" s="220" t="s">
        <v>929</v>
      </c>
      <c r="AW2" s="220" t="s">
        <v>930</v>
      </c>
      <c r="AX2" s="220" t="s">
        <v>931</v>
      </c>
      <c r="AY2" s="220" t="s">
        <v>932</v>
      </c>
      <c r="AZ2" s="220" t="s">
        <v>933</v>
      </c>
      <c r="BA2" s="220" t="s">
        <v>934</v>
      </c>
      <c r="BB2" s="220" t="s">
        <v>935</v>
      </c>
      <c r="BC2" s="220" t="s">
        <v>936</v>
      </c>
      <c r="BD2" s="220" t="s">
        <v>937</v>
      </c>
      <c r="BE2" s="220" t="s">
        <v>938</v>
      </c>
      <c r="BF2" s="220" t="s">
        <v>939</v>
      </c>
      <c r="BG2" s="220" t="s">
        <v>940</v>
      </c>
      <c r="BH2" s="220" t="s">
        <v>941</v>
      </c>
      <c r="BI2" s="220" t="s">
        <v>942</v>
      </c>
      <c r="BJ2" s="220" t="s">
        <v>943</v>
      </c>
      <c r="BK2" s="220" t="s">
        <v>944</v>
      </c>
      <c r="BL2" s="220" t="s">
        <v>945</v>
      </c>
      <c r="BM2" s="220" t="s">
        <v>946</v>
      </c>
      <c r="BN2" s="220" t="s">
        <v>947</v>
      </c>
      <c r="BO2" s="220" t="s">
        <v>948</v>
      </c>
      <c r="BP2" s="220" t="s">
        <v>949</v>
      </c>
      <c r="BQ2" s="220" t="s">
        <v>950</v>
      </c>
      <c r="BR2" s="220"/>
      <c r="BS2" s="225" t="s">
        <v>951</v>
      </c>
      <c r="BT2" s="225" t="s">
        <v>951</v>
      </c>
      <c r="BU2" s="225" t="s">
        <v>951</v>
      </c>
      <c r="BV2" s="225" t="s">
        <v>951</v>
      </c>
      <c r="BW2" s="225" t="s">
        <v>951</v>
      </c>
      <c r="BX2" s="225" t="s">
        <v>951</v>
      </c>
      <c r="BY2" s="225" t="s">
        <v>951</v>
      </c>
      <c r="BZ2" s="225" t="s">
        <v>951</v>
      </c>
      <c r="CA2" s="225" t="s">
        <v>951</v>
      </c>
      <c r="CB2" s="226" t="s">
        <v>951</v>
      </c>
      <c r="CC2" s="226" t="s">
        <v>951</v>
      </c>
      <c r="CD2" s="226" t="s">
        <v>951</v>
      </c>
      <c r="CE2" s="226" t="s">
        <v>951</v>
      </c>
      <c r="CF2" s="226" t="s">
        <v>951</v>
      </c>
      <c r="CG2" s="226" t="s">
        <v>951</v>
      </c>
      <c r="CH2" s="226" t="s">
        <v>951</v>
      </c>
      <c r="CI2" s="226" t="s">
        <v>951</v>
      </c>
      <c r="CJ2" s="226" t="s">
        <v>951</v>
      </c>
      <c r="CK2" s="226" t="s">
        <v>951</v>
      </c>
      <c r="CL2" s="228" t="s">
        <v>951</v>
      </c>
      <c r="CM2" s="226" t="s">
        <v>951</v>
      </c>
      <c r="CN2" s="226" t="s">
        <v>951</v>
      </c>
      <c r="CO2" s="226" t="s">
        <v>951</v>
      </c>
      <c r="CP2" s="226" t="s">
        <v>951</v>
      </c>
      <c r="CQ2" s="226" t="s">
        <v>951</v>
      </c>
      <c r="CR2" s="226" t="s">
        <v>951</v>
      </c>
      <c r="CS2" s="226" t="s">
        <v>951</v>
      </c>
      <c r="CT2" s="226" t="s">
        <v>951</v>
      </c>
      <c r="CU2" s="226" t="s">
        <v>951</v>
      </c>
      <c r="CV2" s="226" t="s">
        <v>951</v>
      </c>
      <c r="CW2" s="226" t="s">
        <v>951</v>
      </c>
      <c r="CX2" s="226" t="s">
        <v>951</v>
      </c>
      <c r="CY2" s="220"/>
      <c r="CZ2" s="225" t="s">
        <v>951</v>
      </c>
      <c r="DA2" s="225" t="s">
        <v>951</v>
      </c>
      <c r="DB2" s="225" t="s">
        <v>951</v>
      </c>
      <c r="DC2" s="225" t="s">
        <v>951</v>
      </c>
      <c r="DD2" s="225" t="s">
        <v>951</v>
      </c>
      <c r="DE2" s="225" t="s">
        <v>951</v>
      </c>
      <c r="DF2" s="225" t="s">
        <v>951</v>
      </c>
      <c r="DG2" s="225" t="s">
        <v>951</v>
      </c>
      <c r="DH2" s="225" t="s">
        <v>951</v>
      </c>
      <c r="DI2" s="226" t="s">
        <v>951</v>
      </c>
      <c r="DJ2" s="226" t="s">
        <v>951</v>
      </c>
      <c r="DK2" s="226" t="s">
        <v>951</v>
      </c>
      <c r="DL2" s="226" t="s">
        <v>951</v>
      </c>
      <c r="DM2" s="226" t="s">
        <v>951</v>
      </c>
      <c r="DN2" s="226" t="s">
        <v>951</v>
      </c>
      <c r="DO2" s="226" t="s">
        <v>951</v>
      </c>
      <c r="DP2" s="226" t="s">
        <v>951</v>
      </c>
      <c r="DQ2" s="226" t="s">
        <v>951</v>
      </c>
      <c r="DR2" s="226" t="s">
        <v>951</v>
      </c>
      <c r="DS2" s="228" t="s">
        <v>951</v>
      </c>
      <c r="DT2" s="226" t="s">
        <v>951</v>
      </c>
      <c r="DU2" s="226" t="s">
        <v>951</v>
      </c>
      <c r="DV2" s="226" t="s">
        <v>951</v>
      </c>
      <c r="DW2" s="226" t="s">
        <v>951</v>
      </c>
      <c r="DX2" s="226" t="s">
        <v>951</v>
      </c>
      <c r="DY2" s="226" t="s">
        <v>951</v>
      </c>
      <c r="DZ2" s="226" t="s">
        <v>951</v>
      </c>
      <c r="EA2" s="226" t="s">
        <v>951</v>
      </c>
      <c r="EB2" s="226" t="s">
        <v>951</v>
      </c>
      <c r="EC2" s="226" t="s">
        <v>951</v>
      </c>
      <c r="ED2" s="226" t="s">
        <v>951</v>
      </c>
      <c r="EE2" s="226" t="s">
        <v>951</v>
      </c>
      <c r="EG2" s="225" t="s">
        <v>951</v>
      </c>
      <c r="EH2" s="225" t="s">
        <v>951</v>
      </c>
      <c r="EI2" s="225" t="s">
        <v>951</v>
      </c>
      <c r="EJ2" s="225" t="s">
        <v>951</v>
      </c>
      <c r="EK2" s="225" t="s">
        <v>951</v>
      </c>
      <c r="EL2" s="225" t="s">
        <v>951</v>
      </c>
      <c r="EM2" s="225" t="s">
        <v>951</v>
      </c>
      <c r="EN2" s="225" t="s">
        <v>951</v>
      </c>
      <c r="EO2" s="225" t="s">
        <v>951</v>
      </c>
      <c r="EP2" s="226" t="s">
        <v>951</v>
      </c>
      <c r="EQ2" s="226" t="s">
        <v>951</v>
      </c>
      <c r="ER2" s="226" t="s">
        <v>951</v>
      </c>
      <c r="ES2" s="226" t="s">
        <v>951</v>
      </c>
      <c r="ET2" s="226" t="s">
        <v>951</v>
      </c>
      <c r="EU2" s="226" t="s">
        <v>951</v>
      </c>
      <c r="EV2" s="226" t="s">
        <v>951</v>
      </c>
      <c r="EW2" s="226" t="s">
        <v>951</v>
      </c>
      <c r="EX2" s="226" t="s">
        <v>951</v>
      </c>
      <c r="EY2" s="226" t="s">
        <v>951</v>
      </c>
      <c r="EZ2" s="228" t="s">
        <v>951</v>
      </c>
      <c r="FA2" s="226" t="s">
        <v>951</v>
      </c>
      <c r="FB2" s="226" t="s">
        <v>951</v>
      </c>
      <c r="FC2" s="226" t="s">
        <v>951</v>
      </c>
      <c r="FD2" s="226" t="s">
        <v>951</v>
      </c>
      <c r="FE2" s="226" t="s">
        <v>951</v>
      </c>
      <c r="FF2" s="226" t="s">
        <v>951</v>
      </c>
      <c r="FG2" s="226" t="s">
        <v>951</v>
      </c>
      <c r="FH2" s="226" t="s">
        <v>951</v>
      </c>
      <c r="FI2" s="226" t="s">
        <v>951</v>
      </c>
      <c r="FJ2" s="226" t="s">
        <v>951</v>
      </c>
      <c r="FK2" s="226" t="s">
        <v>951</v>
      </c>
      <c r="FL2" s="226" t="s">
        <v>951</v>
      </c>
    </row>
    <row r="3" spans="1:168">
      <c r="EF3" s="221"/>
      <c r="EG3" s="221" t="s">
        <v>952</v>
      </c>
      <c r="EH3" s="221"/>
    </row>
    <row r="4" spans="1:168">
      <c r="A4" s="203" t="s">
        <v>953</v>
      </c>
      <c r="B4" s="201" t="s">
        <v>954</v>
      </c>
      <c r="C4" s="201" t="s">
        <v>955</v>
      </c>
      <c r="D4" s="201">
        <v>0.14319999999999999</v>
      </c>
      <c r="E4" s="201">
        <v>-8.0290899999999991E-3</v>
      </c>
      <c r="F4" s="201">
        <v>19.915477500000001</v>
      </c>
      <c r="G4" s="201">
        <v>6.0501067700000002</v>
      </c>
      <c r="H4" s="201">
        <v>114.884525</v>
      </c>
      <c r="I4" s="201">
        <v>91.170554699999997</v>
      </c>
      <c r="J4" s="201"/>
      <c r="K4" s="201">
        <v>107.66353700000001</v>
      </c>
      <c r="L4" s="201">
        <v>1.8772603400000001</v>
      </c>
      <c r="M4" s="201">
        <v>7.6614000000000001E-4</v>
      </c>
      <c r="N4" s="201">
        <v>0.11905151999999999</v>
      </c>
      <c r="O4" s="201">
        <v>0.14262612999999999</v>
      </c>
      <c r="P4" s="201">
        <v>17.684180900000001</v>
      </c>
      <c r="Q4" s="201">
        <v>0.11104015</v>
      </c>
      <c r="R4" s="201">
        <v>1.4005856299999999</v>
      </c>
      <c r="S4" s="201">
        <v>99.825014699999997</v>
      </c>
      <c r="T4" s="201">
        <v>1873.4456499999999</v>
      </c>
      <c r="U4" s="201">
        <v>2.9054522999999999</v>
      </c>
      <c r="V4" s="201">
        <v>0.52219594000000003</v>
      </c>
      <c r="W4" s="201">
        <v>2658.1241300000002</v>
      </c>
      <c r="X4" s="201">
        <v>1795.0992799999999</v>
      </c>
      <c r="Y4" s="201">
        <v>0.17347525</v>
      </c>
      <c r="Z4" s="201">
        <v>20.205473900000001</v>
      </c>
      <c r="AA4" s="201">
        <v>312.29255499999999</v>
      </c>
      <c r="AB4" s="201">
        <v>1.06750338</v>
      </c>
      <c r="AC4" s="201">
        <v>32.097639899999997</v>
      </c>
      <c r="AD4" s="201">
        <v>9.7135440000000003E-2</v>
      </c>
      <c r="AE4" s="201">
        <v>0.98719674000000002</v>
      </c>
      <c r="AF4" s="201">
        <v>0.22275948000000001</v>
      </c>
      <c r="AG4" s="201">
        <v>0.57758810000000005</v>
      </c>
      <c r="AH4" s="201">
        <v>7.8059799999999997E-3</v>
      </c>
      <c r="AI4" s="201">
        <v>1.11558739</v>
      </c>
      <c r="AJ4" s="201">
        <v>9.4799700000000008E-3</v>
      </c>
      <c r="AK4" s="201"/>
      <c r="AL4" s="201">
        <f>(E4-AVERAGE(E6:E7))</f>
        <v>-7.1366799999999994E-3</v>
      </c>
      <c r="AM4" s="201">
        <f t="shared" ref="AM4:BQ4" si="0">(F4-AVERAGE(F6:F7))</f>
        <v>19.879005940000003</v>
      </c>
      <c r="AN4" s="201">
        <f t="shared" si="0"/>
        <v>6.0393690649999998</v>
      </c>
      <c r="AO4" s="201">
        <f t="shared" si="0"/>
        <v>114.52592503999999</v>
      </c>
      <c r="AP4" s="201">
        <f t="shared" si="0"/>
        <v>70.14057944999999</v>
      </c>
      <c r="AQ4" s="201" t="e">
        <f t="shared" si="0"/>
        <v>#DIV/0!</v>
      </c>
      <c r="AR4" s="201">
        <f t="shared" si="0"/>
        <v>107.59200245000001</v>
      </c>
      <c r="AS4" s="201">
        <f t="shared" si="0"/>
        <v>1.3042965</v>
      </c>
      <c r="AT4" s="201">
        <f t="shared" si="0"/>
        <v>-3.7299230000000003E-2</v>
      </c>
      <c r="AU4" s="201">
        <f t="shared" si="0"/>
        <v>-0.124756545</v>
      </c>
      <c r="AV4" s="201">
        <f t="shared" si="0"/>
        <v>7.9464604999999994E-2</v>
      </c>
      <c r="AW4" s="201">
        <f t="shared" si="0"/>
        <v>-2.4508444499999982</v>
      </c>
      <c r="AX4" s="201">
        <f t="shared" si="0"/>
        <v>5.630723E-2</v>
      </c>
      <c r="AY4" s="201">
        <f t="shared" si="0"/>
        <v>1.4752135749999999</v>
      </c>
      <c r="AZ4" s="201">
        <f t="shared" si="0"/>
        <v>99.623559505000003</v>
      </c>
      <c r="BA4" s="201">
        <f t="shared" si="0"/>
        <v>1865.7321269449999</v>
      </c>
      <c r="BB4" s="201">
        <f t="shared" si="0"/>
        <v>2.9044052300000001</v>
      </c>
      <c r="BC4" s="201">
        <f t="shared" si="0"/>
        <v>0.49801132000000004</v>
      </c>
      <c r="BD4" s="201">
        <f t="shared" si="0"/>
        <v>2654.0985332100004</v>
      </c>
      <c r="BE4" s="201">
        <f t="shared" si="0"/>
        <v>1780.5609900499999</v>
      </c>
      <c r="BF4" s="201">
        <f t="shared" si="0"/>
        <v>0.16237758999999999</v>
      </c>
      <c r="BG4" s="201">
        <f t="shared" si="0"/>
        <v>20.144953640000001</v>
      </c>
      <c r="BH4" s="201">
        <f t="shared" si="0"/>
        <v>312.23060182500001</v>
      </c>
      <c r="BI4" s="201">
        <f t="shared" si="0"/>
        <v>0.84587002999999994</v>
      </c>
      <c r="BJ4" s="201">
        <f t="shared" si="0"/>
        <v>31.916357374999997</v>
      </c>
      <c r="BK4" s="201">
        <f t="shared" si="0"/>
        <v>5.0799150000000001E-2</v>
      </c>
      <c r="BL4" s="201">
        <f t="shared" si="0"/>
        <v>0.97824435500000007</v>
      </c>
      <c r="BM4" s="201">
        <f t="shared" si="0"/>
        <v>0.21725129000000001</v>
      </c>
      <c r="BN4" s="201">
        <f t="shared" si="0"/>
        <v>0.31607664000000002</v>
      </c>
      <c r="BO4" s="201">
        <f t="shared" si="0"/>
        <v>6.6670749999999997E-3</v>
      </c>
      <c r="BP4" s="201">
        <f t="shared" si="0"/>
        <v>0.533107475</v>
      </c>
      <c r="BQ4" s="201">
        <f t="shared" si="0"/>
        <v>7.2073000000000007E-3</v>
      </c>
      <c r="BR4" s="201"/>
      <c r="BS4" s="201">
        <f>(AL4*15/1000/$D$4)*1000</f>
        <v>-0.74755726256983235</v>
      </c>
      <c r="BT4" s="201">
        <f t="shared" ref="BT4:CA4" si="1">(AM4*15/1000/$D$4)*1000</f>
        <v>2082.2981082402239</v>
      </c>
      <c r="BU4" s="201">
        <f t="shared" si="1"/>
        <v>632.61547468575418</v>
      </c>
      <c r="BV4" s="201">
        <f t="shared" si="1"/>
        <v>11996.430695530726</v>
      </c>
      <c r="BW4" s="201">
        <f t="shared" si="1"/>
        <v>7347.1277356843575</v>
      </c>
      <c r="BX4" s="201" t="e">
        <f t="shared" si="1"/>
        <v>#DIV/0!</v>
      </c>
      <c r="BY4" s="201">
        <f t="shared" si="1"/>
        <v>11270.111988477654</v>
      </c>
      <c r="BZ4" s="201">
        <f t="shared" si="1"/>
        <v>136.62323673184358</v>
      </c>
      <c r="CA4" s="201">
        <f t="shared" si="1"/>
        <v>-3.9070422486033527</v>
      </c>
      <c r="CB4" s="201">
        <f>(AU4*15/1000/$D$4)</f>
        <v>-1.3068073847765364E-2</v>
      </c>
      <c r="CC4" s="201">
        <f t="shared" ref="CC4:CX4" si="2">(AV4*15/1000/$D$4)</f>
        <v>8.3238063896648035E-3</v>
      </c>
      <c r="CD4" s="201">
        <f t="shared" si="2"/>
        <v>-0.2567225331703909</v>
      </c>
      <c r="CE4" s="201">
        <f t="shared" si="2"/>
        <v>5.8981037011173187E-3</v>
      </c>
      <c r="CF4" s="201">
        <f t="shared" si="2"/>
        <v>0.15452656162709497</v>
      </c>
      <c r="CG4" s="201">
        <f t="shared" si="2"/>
        <v>10.435428719099162</v>
      </c>
      <c r="CH4" s="201">
        <f t="shared" si="2"/>
        <v>195.43283452636172</v>
      </c>
      <c r="CI4" s="201">
        <f t="shared" si="2"/>
        <v>0.30423239141061453</v>
      </c>
      <c r="CJ4" s="201">
        <f t="shared" si="2"/>
        <v>5.2165990223463694E-2</v>
      </c>
      <c r="CK4" s="201">
        <f t="shared" si="2"/>
        <v>278.01311451222068</v>
      </c>
      <c r="CL4" s="201">
        <f t="shared" si="2"/>
        <v>186.51127689071231</v>
      </c>
      <c r="CM4" s="201">
        <f t="shared" si="2"/>
        <v>1.7008825768156422E-2</v>
      </c>
      <c r="CN4" s="201">
        <f t="shared" si="2"/>
        <v>2.1101557583798889</v>
      </c>
      <c r="CO4" s="201">
        <f t="shared" si="2"/>
        <v>32.705719464909222</v>
      </c>
      <c r="CP4" s="201">
        <f t="shared" si="2"/>
        <v>8.8603704259776525E-2</v>
      </c>
      <c r="CQ4" s="201">
        <f t="shared" si="2"/>
        <v>3.3431938591131285</v>
      </c>
      <c r="CR4" s="201">
        <f t="shared" si="2"/>
        <v>5.3211400139664801E-3</v>
      </c>
      <c r="CS4" s="201">
        <f t="shared" si="2"/>
        <v>0.10246972992318437</v>
      </c>
      <c r="CT4" s="201">
        <f t="shared" si="2"/>
        <v>2.2756769203910617E-2</v>
      </c>
      <c r="CU4" s="201">
        <f t="shared" si="2"/>
        <v>3.3108586592178774E-2</v>
      </c>
      <c r="CV4" s="201">
        <f t="shared" si="2"/>
        <v>6.9836679469273747E-4</v>
      </c>
      <c r="CW4" s="201">
        <f t="shared" si="2"/>
        <v>5.5842263442737433E-2</v>
      </c>
      <c r="CX4" s="201">
        <f t="shared" si="2"/>
        <v>7.5495460893854765E-4</v>
      </c>
      <c r="CY4" s="201"/>
      <c r="CZ4" s="203">
        <f>AVERAGE(BS4:BS5)</f>
        <v>-0.20957500565253845</v>
      </c>
      <c r="DA4" s="203">
        <f t="shared" ref="DA4:EE4" si="3">AVERAGE(BT4:BT5)</f>
        <v>2104.6560709835185</v>
      </c>
      <c r="DB4" s="203">
        <f t="shared" si="3"/>
        <v>639.13844497356854</v>
      </c>
      <c r="DC4" s="203">
        <f t="shared" si="3"/>
        <v>12067.532845235852</v>
      </c>
      <c r="DD4" s="203">
        <f t="shared" si="3"/>
        <v>7330.9888994610646</v>
      </c>
      <c r="DE4" s="203" t="e">
        <f t="shared" si="3"/>
        <v>#DIV/0!</v>
      </c>
      <c r="DF4" s="203">
        <f t="shared" si="3"/>
        <v>11341.075026700884</v>
      </c>
      <c r="DG4" s="203">
        <f t="shared" si="3"/>
        <v>136.78614113152045</v>
      </c>
      <c r="DH4" s="203">
        <f t="shared" si="3"/>
        <v>-2.8873807364433288</v>
      </c>
      <c r="DI4" s="203">
        <f t="shared" si="3"/>
        <v>8.8180901840431217E-3</v>
      </c>
      <c r="DJ4" s="203">
        <f t="shared" si="3"/>
        <v>1.3105830892977425E-2</v>
      </c>
      <c r="DK4" s="203">
        <f t="shared" si="3"/>
        <v>-0.45509230157676372</v>
      </c>
      <c r="DL4" s="203">
        <f t="shared" si="3"/>
        <v>8.2033208218908697E-3</v>
      </c>
      <c r="DM4" s="203">
        <f t="shared" si="3"/>
        <v>0.11388801795520009</v>
      </c>
      <c r="DN4" s="203">
        <f t="shared" si="3"/>
        <v>10.435174553689546</v>
      </c>
      <c r="DO4" s="203">
        <f t="shared" si="3"/>
        <v>197.3332759033579</v>
      </c>
      <c r="DP4" s="203">
        <f t="shared" si="3"/>
        <v>0.30588863879131067</v>
      </c>
      <c r="DQ4" s="203">
        <f t="shared" si="3"/>
        <v>5.0496375803131509E-2</v>
      </c>
      <c r="DR4" s="203">
        <f t="shared" si="3"/>
        <v>279.97004727339532</v>
      </c>
      <c r="DS4" s="203">
        <f t="shared" si="3"/>
        <v>188.71578811019594</v>
      </c>
      <c r="DT4" s="203">
        <f t="shared" si="3"/>
        <v>1.8381778398412107E-2</v>
      </c>
      <c r="DU4" s="203">
        <f t="shared" si="3"/>
        <v>2.1497481127481231</v>
      </c>
      <c r="DV4" s="203">
        <f t="shared" si="3"/>
        <v>33.120849986459675</v>
      </c>
      <c r="DW4" s="203">
        <f t="shared" si="3"/>
        <v>9.2701153984862963E-2</v>
      </c>
      <c r="DX4" s="203">
        <f t="shared" si="3"/>
        <v>3.3877898079292459</v>
      </c>
      <c r="DY4" s="203">
        <f t="shared" si="3"/>
        <v>5.572080125027086E-3</v>
      </c>
      <c r="DZ4" s="203">
        <f t="shared" si="3"/>
        <v>0.10040707470020938</v>
      </c>
      <c r="EA4" s="203">
        <f t="shared" si="3"/>
        <v>2.1433019930791733E-2</v>
      </c>
      <c r="EB4" s="203">
        <f t="shared" si="3"/>
        <v>3.8864853161182128E-2</v>
      </c>
      <c r="EC4" s="203">
        <f t="shared" si="3"/>
        <v>8.4994794203439579E-4</v>
      </c>
      <c r="ED4" s="203">
        <f t="shared" si="3"/>
        <v>5.7212728896748145E-2</v>
      </c>
      <c r="EE4" s="203">
        <f t="shared" si="3"/>
        <v>6.7540437023655886E-4</v>
      </c>
    </row>
    <row r="5" spans="1:168">
      <c r="A5" s="203" t="s">
        <v>953</v>
      </c>
      <c r="B5" s="201" t="s">
        <v>954</v>
      </c>
      <c r="C5" s="201" t="s">
        <v>956</v>
      </c>
      <c r="D5" s="201">
        <v>0.1779</v>
      </c>
      <c r="E5" s="201">
        <v>3.0025E-3</v>
      </c>
      <c r="F5" s="201">
        <v>25.262858000000001</v>
      </c>
      <c r="G5" s="201">
        <v>7.6682820899999999</v>
      </c>
      <c r="H5" s="201">
        <v>144.322811</v>
      </c>
      <c r="I5" s="201">
        <v>107.784097</v>
      </c>
      <c r="J5" s="201"/>
      <c r="K5" s="201">
        <v>135.418306</v>
      </c>
      <c r="L5" s="201">
        <v>2.1971795200000002</v>
      </c>
      <c r="M5" s="201">
        <v>1.591422E-2</v>
      </c>
      <c r="N5" s="201">
        <v>0.60796052</v>
      </c>
      <c r="O5" s="201">
        <v>0.27531148999999999</v>
      </c>
      <c r="P5" s="201">
        <v>12.3849652</v>
      </c>
      <c r="Q5" s="201">
        <v>0.17936418000000001</v>
      </c>
      <c r="R5" s="201">
        <v>0.79411082</v>
      </c>
      <c r="S5" s="201">
        <v>123.959611</v>
      </c>
      <c r="T5" s="201">
        <v>2370.6254100000001</v>
      </c>
      <c r="U5" s="201">
        <v>3.64852942</v>
      </c>
      <c r="V5" s="201">
        <v>0.60327001000000002</v>
      </c>
      <c r="W5" s="201">
        <v>3347.67958</v>
      </c>
      <c r="X5" s="201">
        <v>2278.85304</v>
      </c>
      <c r="Y5" s="201">
        <v>0.24538877000000001</v>
      </c>
      <c r="Z5" s="201">
        <v>26.0260982</v>
      </c>
      <c r="AA5" s="201">
        <v>397.79868199999999</v>
      </c>
      <c r="AB5" s="201">
        <v>1.3696647900000001</v>
      </c>
      <c r="AC5" s="201">
        <v>40.889377600000003</v>
      </c>
      <c r="AD5" s="201">
        <v>0.11539731</v>
      </c>
      <c r="AE5" s="201">
        <v>1.1753172000000001</v>
      </c>
      <c r="AF5" s="201">
        <v>0.24400414000000001</v>
      </c>
      <c r="AG5" s="201">
        <v>0.79071793999999995</v>
      </c>
      <c r="AH5" s="201">
        <v>1.3017040000000001E-2</v>
      </c>
      <c r="AI5" s="201">
        <v>1.2772766</v>
      </c>
      <c r="AJ5" s="201">
        <v>9.3395000000000006E-3</v>
      </c>
      <c r="AK5" s="201"/>
      <c r="AL5" s="201">
        <f>(E5-AVERAGE(E6:E7))</f>
        <v>3.8949100000000001E-3</v>
      </c>
      <c r="AM5" s="201">
        <f t="shared" ref="AM5:BQ5" si="4">(F5-AVERAGE(F6:F7))</f>
        <v>25.226386440000002</v>
      </c>
      <c r="AN5" s="201">
        <f t="shared" si="4"/>
        <v>7.6575443849999996</v>
      </c>
      <c r="AO5" s="201">
        <f t="shared" si="4"/>
        <v>143.96421104000001</v>
      </c>
      <c r="AP5" s="201">
        <f t="shared" si="4"/>
        <v>86.754121749999996</v>
      </c>
      <c r="AQ5" s="201" t="e">
        <f t="shared" si="4"/>
        <v>#DIV/0!</v>
      </c>
      <c r="AR5" s="201">
        <f t="shared" si="4"/>
        <v>135.34677145000001</v>
      </c>
      <c r="AS5" s="201">
        <f t="shared" si="4"/>
        <v>1.6242156800000003</v>
      </c>
      <c r="AT5" s="201">
        <f t="shared" si="4"/>
        <v>-2.2151150000000001E-2</v>
      </c>
      <c r="AU5" s="201">
        <f t="shared" si="4"/>
        <v>0.36415245500000004</v>
      </c>
      <c r="AV5" s="201">
        <f t="shared" si="4"/>
        <v>0.212149965</v>
      </c>
      <c r="AW5" s="201">
        <f>(P5-AVERAGE(P6:P7))</f>
        <v>-7.7500601499999995</v>
      </c>
      <c r="AX5" s="201">
        <f t="shared" si="4"/>
        <v>0.12463126000000001</v>
      </c>
      <c r="AY5" s="201">
        <f t="shared" si="4"/>
        <v>0.86873876500000002</v>
      </c>
      <c r="AZ5" s="201">
        <f t="shared" si="4"/>
        <v>123.758155805</v>
      </c>
      <c r="BA5" s="201">
        <f t="shared" si="4"/>
        <v>2362.9118869449999</v>
      </c>
      <c r="BB5" s="201">
        <f t="shared" si="4"/>
        <v>3.6474823500000002</v>
      </c>
      <c r="BC5" s="201">
        <f t="shared" si="4"/>
        <v>0.57908539000000003</v>
      </c>
      <c r="BD5" s="201">
        <f t="shared" si="4"/>
        <v>3343.6539832100002</v>
      </c>
      <c r="BE5" s="201">
        <f t="shared" si="4"/>
        <v>2264.3147500499999</v>
      </c>
      <c r="BF5" s="201">
        <f t="shared" si="4"/>
        <v>0.23429111</v>
      </c>
      <c r="BG5" s="201">
        <f t="shared" si="4"/>
        <v>25.965577939999999</v>
      </c>
      <c r="BH5" s="201">
        <f t="shared" si="4"/>
        <v>397.736728825</v>
      </c>
      <c r="BI5" s="201">
        <f t="shared" si="4"/>
        <v>1.14803144</v>
      </c>
      <c r="BJ5" s="201">
        <f t="shared" si="4"/>
        <v>40.708095075000003</v>
      </c>
      <c r="BK5" s="201">
        <f t="shared" si="4"/>
        <v>6.9061020000000001E-2</v>
      </c>
      <c r="BL5" s="201">
        <f t="shared" si="4"/>
        <v>1.1663648150000001</v>
      </c>
      <c r="BM5" s="201">
        <f t="shared" si="4"/>
        <v>0.23849595000000001</v>
      </c>
      <c r="BN5" s="201">
        <f t="shared" si="4"/>
        <v>0.52920647999999992</v>
      </c>
      <c r="BO5" s="201">
        <f t="shared" si="4"/>
        <v>1.1878135000000001E-2</v>
      </c>
      <c r="BP5" s="201">
        <f t="shared" si="4"/>
        <v>0.69479668500000002</v>
      </c>
      <c r="BQ5" s="201">
        <f t="shared" si="4"/>
        <v>7.0668300000000005E-3</v>
      </c>
      <c r="BR5" s="201"/>
      <c r="BS5" s="201">
        <f>(AL5*15/1000/$D$5)*1000</f>
        <v>0.32840725126475545</v>
      </c>
      <c r="BT5" s="201">
        <f t="shared" ref="BT5:CA5" si="5">(AM5*15/1000/$D$5)*1000</f>
        <v>2127.0140337268135</v>
      </c>
      <c r="BU5" s="201">
        <f t="shared" si="5"/>
        <v>645.66141526138279</v>
      </c>
      <c r="BV5" s="201">
        <f t="shared" si="5"/>
        <v>12138.63499494098</v>
      </c>
      <c r="BW5" s="201">
        <f t="shared" si="5"/>
        <v>7314.8500632377727</v>
      </c>
      <c r="BX5" s="201" t="e">
        <f t="shared" si="5"/>
        <v>#DIV/0!</v>
      </c>
      <c r="BY5" s="201">
        <f t="shared" si="5"/>
        <v>11412.038064924114</v>
      </c>
      <c r="BZ5" s="201">
        <f t="shared" si="5"/>
        <v>136.94904553119733</v>
      </c>
      <c r="CA5" s="201">
        <f t="shared" si="5"/>
        <v>-1.8677192242833052</v>
      </c>
      <c r="CB5" s="201">
        <f>(AU5*15/1000/$D$5)</f>
        <v>3.0704254215851608E-2</v>
      </c>
      <c r="CC5" s="201">
        <f t="shared" ref="CC5:CX5" si="6">(AV5*15/1000/$D$5)</f>
        <v>1.7887855396290047E-2</v>
      </c>
      <c r="CD5" s="201">
        <f t="shared" si="6"/>
        <v>-0.65346206998313661</v>
      </c>
      <c r="CE5" s="201">
        <f t="shared" si="6"/>
        <v>1.0508537942664421E-2</v>
      </c>
      <c r="CF5" s="201">
        <f t="shared" si="6"/>
        <v>7.3249474283305235E-2</v>
      </c>
      <c r="CG5" s="201">
        <f t="shared" si="6"/>
        <v>10.434920388279931</v>
      </c>
      <c r="CH5" s="201">
        <f t="shared" si="6"/>
        <v>199.23371728035409</v>
      </c>
      <c r="CI5" s="201">
        <f t="shared" si="6"/>
        <v>0.30754488617200676</v>
      </c>
      <c r="CJ5" s="201">
        <f t="shared" si="6"/>
        <v>4.8826761382799323E-2</v>
      </c>
      <c r="CK5" s="201">
        <f t="shared" si="6"/>
        <v>281.92698003456997</v>
      </c>
      <c r="CL5" s="201">
        <f t="shared" si="6"/>
        <v>190.92029932967961</v>
      </c>
      <c r="CM5" s="201">
        <f t="shared" si="6"/>
        <v>1.9754731028667791E-2</v>
      </c>
      <c r="CN5" s="201">
        <f t="shared" si="6"/>
        <v>2.1893404671163572</v>
      </c>
      <c r="CO5" s="201">
        <f t="shared" si="6"/>
        <v>33.53598050801012</v>
      </c>
      <c r="CP5" s="201">
        <f t="shared" si="6"/>
        <v>9.6798603709949402E-2</v>
      </c>
      <c r="CQ5" s="201">
        <f t="shared" si="6"/>
        <v>3.4323857567453628</v>
      </c>
      <c r="CR5" s="201">
        <f t="shared" si="6"/>
        <v>5.823020236087691E-3</v>
      </c>
      <c r="CS5" s="201">
        <f t="shared" si="6"/>
        <v>9.8344419477234393E-2</v>
      </c>
      <c r="CT5" s="201">
        <f t="shared" si="6"/>
        <v>2.0109270657672852E-2</v>
      </c>
      <c r="CU5" s="201">
        <f t="shared" si="6"/>
        <v>4.4621119730185489E-2</v>
      </c>
      <c r="CV5" s="201">
        <f t="shared" si="6"/>
        <v>1.001529089376054E-3</v>
      </c>
      <c r="CW5" s="201">
        <f t="shared" si="6"/>
        <v>5.8583194350758858E-2</v>
      </c>
      <c r="CX5" s="201">
        <f t="shared" si="6"/>
        <v>5.9585413153457006E-4</v>
      </c>
      <c r="CY5" s="201"/>
    </row>
    <row r="6" spans="1:168">
      <c r="B6" s="201" t="s">
        <v>957</v>
      </c>
      <c r="C6" s="201" t="s">
        <v>958</v>
      </c>
      <c r="D6" s="201">
        <v>0</v>
      </c>
      <c r="E6" s="201">
        <v>-5.81541E-3</v>
      </c>
      <c r="F6" s="201">
        <v>3.2845510000000001E-2</v>
      </c>
      <c r="G6" s="201">
        <v>1.136349E-2</v>
      </c>
      <c r="H6" s="201">
        <v>0.35020178000000002</v>
      </c>
      <c r="I6" s="201">
        <v>19.2113008</v>
      </c>
      <c r="K6" s="201">
        <v>6.0610820000000003E-2</v>
      </c>
      <c r="L6" s="201">
        <v>0.55441010999999996</v>
      </c>
      <c r="M6" s="201">
        <v>6.3184560000000001E-2</v>
      </c>
      <c r="N6" s="201">
        <v>0.11783739</v>
      </c>
      <c r="O6" s="201">
        <v>0.14782703999999999</v>
      </c>
      <c r="P6" s="201">
        <v>29.8022749</v>
      </c>
      <c r="Q6" s="201">
        <v>7.9603300000000002E-2</v>
      </c>
      <c r="R6" s="201">
        <v>-3.5245539999999999E-2</v>
      </c>
      <c r="S6" s="201">
        <v>0.27619253999999999</v>
      </c>
      <c r="T6" s="201">
        <v>8.68209038</v>
      </c>
      <c r="U6" s="201">
        <v>2.5433299999999999E-3</v>
      </c>
      <c r="V6" s="201">
        <v>4.8969930000000002E-2</v>
      </c>
      <c r="W6" s="201">
        <v>3.5339855500000001</v>
      </c>
      <c r="X6" s="201">
        <v>12.6427757</v>
      </c>
      <c r="Y6" s="201">
        <v>1.0707070000000001E-2</v>
      </c>
      <c r="Z6" s="201">
        <v>7.2446709999999997E-2</v>
      </c>
      <c r="AA6" s="201">
        <v>8.2882960000000006E-2</v>
      </c>
      <c r="AB6" s="201">
        <v>0.23944757</v>
      </c>
      <c r="AC6" s="201">
        <v>0.28714321999999998</v>
      </c>
      <c r="AD6" s="201">
        <v>5.0874490000000001E-2</v>
      </c>
      <c r="AE6" s="201">
        <v>6.2425500000000004E-3</v>
      </c>
      <c r="AF6" s="201">
        <v>7.1901100000000004E-3</v>
      </c>
      <c r="AG6" s="201">
        <v>0.19853946</v>
      </c>
      <c r="AH6" s="201">
        <v>1.3981E-3</v>
      </c>
      <c r="AI6" s="201">
        <v>0.50012862000000002</v>
      </c>
      <c r="AJ6" s="201">
        <v>2.6284899999999998E-3</v>
      </c>
      <c r="AK6" s="201"/>
      <c r="AL6" s="201"/>
      <c r="AM6" s="201"/>
      <c r="AN6" s="201"/>
      <c r="AO6" s="201"/>
      <c r="AP6" s="201"/>
      <c r="AQ6" s="201"/>
      <c r="AR6" s="201"/>
      <c r="AS6" s="201"/>
      <c r="AT6" s="201"/>
      <c r="AU6" s="201"/>
      <c r="AV6" s="201"/>
      <c r="AW6" s="201"/>
      <c r="AX6" s="201"/>
      <c r="AY6" s="201"/>
      <c r="AZ6" s="201"/>
      <c r="BA6" s="201"/>
      <c r="BB6" s="201"/>
      <c r="BC6" s="201"/>
      <c r="BD6" s="201"/>
      <c r="BE6" s="201"/>
      <c r="BF6" s="201"/>
      <c r="BG6" s="201"/>
      <c r="BH6" s="201"/>
      <c r="BI6" s="201"/>
      <c r="BJ6" s="201"/>
      <c r="BK6" s="201"/>
      <c r="BL6" s="201"/>
      <c r="BM6" s="201"/>
      <c r="BN6" s="201"/>
      <c r="BO6" s="201"/>
      <c r="BP6" s="201"/>
      <c r="BQ6" s="201"/>
      <c r="BR6" s="201"/>
      <c r="BS6" s="202">
        <f>(E6*15/1000)*1000</f>
        <v>-8.7231150000000007E-2</v>
      </c>
      <c r="BT6" s="201"/>
      <c r="BU6" s="201"/>
      <c r="BV6" s="201"/>
      <c r="BW6" s="201"/>
      <c r="BX6" s="201"/>
      <c r="BY6" s="201"/>
      <c r="BZ6" s="201"/>
      <c r="CA6" s="201"/>
      <c r="CB6" s="201"/>
      <c r="CC6" s="201"/>
      <c r="CD6" s="201"/>
      <c r="CE6" s="201"/>
      <c r="CF6" s="201"/>
      <c r="CG6" s="201"/>
      <c r="CH6" s="201"/>
      <c r="CI6" s="201"/>
      <c r="CJ6" s="201"/>
      <c r="CK6" s="201"/>
      <c r="CL6" s="201"/>
      <c r="CM6" s="201"/>
      <c r="CN6" s="201"/>
      <c r="CO6" s="201"/>
      <c r="CP6" s="201"/>
      <c r="CQ6" s="201"/>
      <c r="CR6" s="201"/>
      <c r="CS6" s="201"/>
      <c r="CT6" s="201"/>
      <c r="CU6" s="201"/>
      <c r="CV6" s="201"/>
      <c r="CW6" s="201"/>
      <c r="CX6" s="201"/>
      <c r="CY6" s="201"/>
      <c r="CZ6" s="221" t="s">
        <v>959</v>
      </c>
    </row>
    <row r="7" spans="1:168">
      <c r="B7" s="201" t="s">
        <v>957</v>
      </c>
      <c r="C7" s="201" t="s">
        <v>960</v>
      </c>
      <c r="D7" s="201">
        <v>0</v>
      </c>
      <c r="E7" s="201">
        <v>4.0305899999999997E-3</v>
      </c>
      <c r="F7" s="201">
        <v>4.0097609999999999E-2</v>
      </c>
      <c r="G7" s="201">
        <v>1.011192E-2</v>
      </c>
      <c r="H7" s="201">
        <v>0.36699813999999997</v>
      </c>
      <c r="I7" s="201">
        <v>22.848649699999999</v>
      </c>
      <c r="K7" s="201">
        <v>8.2458279999999995E-2</v>
      </c>
      <c r="L7" s="201">
        <v>0.59151757000000005</v>
      </c>
      <c r="M7" s="201">
        <v>1.294618E-2</v>
      </c>
      <c r="N7" s="201">
        <v>0.36977873999999999</v>
      </c>
      <c r="O7" s="201">
        <v>-2.1503990000000001E-2</v>
      </c>
      <c r="P7" s="201">
        <v>10.4677758</v>
      </c>
      <c r="Q7" s="201">
        <v>2.986254E-2</v>
      </c>
      <c r="R7" s="201">
        <v>-0.11401035</v>
      </c>
      <c r="S7" s="201">
        <v>0.12671784999999999</v>
      </c>
      <c r="T7" s="201">
        <v>6.74495573</v>
      </c>
      <c r="U7" s="201">
        <v>-4.4918999999999997E-4</v>
      </c>
      <c r="V7" s="201">
        <v>-6.0068999999999997E-4</v>
      </c>
      <c r="W7" s="201">
        <v>4.5172080299999999</v>
      </c>
      <c r="X7" s="201">
        <v>16.433804200000001</v>
      </c>
      <c r="Y7" s="201">
        <v>1.148825E-2</v>
      </c>
      <c r="Z7" s="201">
        <v>4.8593810000000001E-2</v>
      </c>
      <c r="AA7" s="201">
        <v>4.102339E-2</v>
      </c>
      <c r="AB7" s="201">
        <v>0.20381912999999999</v>
      </c>
      <c r="AC7" s="201">
        <v>7.5421829999999995E-2</v>
      </c>
      <c r="AD7" s="201">
        <v>4.1798090000000003E-2</v>
      </c>
      <c r="AE7" s="201">
        <v>1.1662219999999999E-2</v>
      </c>
      <c r="AF7" s="201">
        <v>3.8262700000000001E-3</v>
      </c>
      <c r="AG7" s="201">
        <v>0.32448346</v>
      </c>
      <c r="AH7" s="201">
        <v>8.7971000000000002E-4</v>
      </c>
      <c r="AI7" s="201">
        <v>0.66483121000000001</v>
      </c>
      <c r="AJ7" s="201">
        <v>1.9168500000000001E-3</v>
      </c>
      <c r="AK7" s="201"/>
      <c r="AL7" s="201"/>
      <c r="AM7" s="201"/>
      <c r="AN7" s="201"/>
      <c r="AO7" s="201"/>
      <c r="AP7" s="201"/>
      <c r="AQ7" s="201"/>
      <c r="AR7" s="201"/>
      <c r="AS7" s="201"/>
      <c r="AT7" s="201"/>
      <c r="AU7" s="201"/>
      <c r="AV7" s="201"/>
      <c r="AW7" s="201"/>
      <c r="AX7" s="201"/>
      <c r="AY7" s="201"/>
      <c r="AZ7" s="201"/>
      <c r="BA7" s="201"/>
      <c r="BB7" s="201"/>
      <c r="BC7" s="201"/>
      <c r="BD7" s="201"/>
      <c r="BE7" s="201"/>
      <c r="BF7" s="201"/>
      <c r="BG7" s="201"/>
      <c r="BH7" s="201"/>
      <c r="BI7" s="201"/>
      <c r="BJ7" s="201"/>
      <c r="BK7" s="201"/>
      <c r="BL7" s="201"/>
      <c r="BM7" s="201"/>
      <c r="BN7" s="201"/>
      <c r="BO7" s="201"/>
      <c r="BP7" s="201"/>
      <c r="BQ7" s="201"/>
      <c r="BR7" s="201"/>
      <c r="BS7" s="201"/>
      <c r="BT7" s="201"/>
      <c r="BU7" s="201"/>
      <c r="BV7" s="201"/>
      <c r="BW7" s="201"/>
      <c r="BX7" s="201"/>
      <c r="BY7" s="201"/>
      <c r="BZ7" s="201"/>
      <c r="CA7" s="201"/>
      <c r="CB7" s="201"/>
      <c r="CC7" s="201"/>
      <c r="CD7" s="201"/>
      <c r="CE7" s="201"/>
      <c r="CF7" s="201"/>
      <c r="CG7" s="201"/>
      <c r="CH7" s="201"/>
      <c r="CI7" s="201"/>
      <c r="CJ7" s="201"/>
      <c r="CK7" s="201"/>
      <c r="CL7" s="201"/>
      <c r="CM7" s="201"/>
      <c r="CN7" s="201"/>
      <c r="CO7" s="201"/>
      <c r="CP7" s="201"/>
      <c r="CQ7" s="201"/>
      <c r="CR7" s="201"/>
      <c r="CS7" s="201"/>
      <c r="CT7" s="201"/>
      <c r="CU7" s="201"/>
      <c r="CV7" s="201"/>
      <c r="CW7" s="201"/>
      <c r="CX7" s="201"/>
      <c r="CY7" s="201"/>
      <c r="CZ7" s="222">
        <v>1</v>
      </c>
      <c r="DA7" s="229">
        <f>DA4/$B$27</f>
        <v>1.0352464687572644</v>
      </c>
      <c r="DB7" s="203">
        <f>DB4/$B$28</f>
        <v>1.0308684596347879</v>
      </c>
      <c r="DC7" s="203">
        <f>DC4/$B$29</f>
        <v>1.0270240719349661</v>
      </c>
      <c r="DD7" s="203">
        <f>DD4/$B$30</f>
        <v>0.97877021354620353</v>
      </c>
      <c r="DE7" s="203" t="e">
        <f>DE4/$B$31</f>
        <v>#DIV/0!</v>
      </c>
      <c r="DF7" s="203">
        <f>DF4/$B$32</f>
        <v>1.1086094845259906</v>
      </c>
      <c r="DG7" s="203">
        <f>DG4/$B$33</f>
        <v>1.0441690162711486</v>
      </c>
      <c r="DH7" s="222">
        <v>1</v>
      </c>
      <c r="DI7" s="222">
        <v>1</v>
      </c>
      <c r="DJ7" s="222">
        <v>1</v>
      </c>
      <c r="DK7" s="222">
        <v>1</v>
      </c>
      <c r="DL7" s="203">
        <f>DL4/$B$38</f>
        <v>1.0254151027363587</v>
      </c>
      <c r="DM7" s="203">
        <f>DM4/$B$39</f>
        <v>2.1488305274566057</v>
      </c>
      <c r="DN7" s="203">
        <f>DN4/$B$40</f>
        <v>0.9976266303718494</v>
      </c>
      <c r="DO7" s="203">
        <f>DO4/$B$41</f>
        <v>0.99693480803959733</v>
      </c>
      <c r="DP7" s="203">
        <f>DP4/$B$42</f>
        <v>1.0196287959710357</v>
      </c>
      <c r="DQ7" s="203">
        <f>DQ4/$B$43</f>
        <v>1.134750018047899E-3</v>
      </c>
      <c r="DR7" s="203">
        <f>DR4/$B$44</f>
        <v>1.0173330206155353</v>
      </c>
      <c r="DS7" s="203">
        <f>DS4/$B$45</f>
        <v>1.0420529437338264</v>
      </c>
      <c r="DT7" s="203">
        <f>DT4/$B$46</f>
        <v>0.93784583665367893</v>
      </c>
      <c r="DU7" s="203">
        <f>DU4/$B$47</f>
        <v>1.0584678053905086</v>
      </c>
      <c r="DV7" s="203">
        <f>DV4/$B$48</f>
        <v>0.9382677049988577</v>
      </c>
      <c r="DW7" s="203">
        <f>DW4/$B$49</f>
        <v>0.97272984244347294</v>
      </c>
      <c r="DX7" s="203">
        <f>DX4/$B$50</f>
        <v>1.0266029720997716</v>
      </c>
      <c r="DY7" s="203">
        <f>DY4/$B$51</f>
        <v>0.94442036017408237</v>
      </c>
      <c r="DZ7" s="203">
        <f>DZ4/$B$52</f>
        <v>1.0351244814454574</v>
      </c>
      <c r="EA7" s="203">
        <f>EA4/$B$53</f>
        <v>1.0206199967043681</v>
      </c>
      <c r="EB7" s="222">
        <v>1</v>
      </c>
      <c r="EC7" s="222">
        <v>1</v>
      </c>
      <c r="ED7" s="203">
        <f>ED4/$B$56</f>
        <v>0.91103071491637178</v>
      </c>
      <c r="EE7" s="222">
        <v>1</v>
      </c>
    </row>
    <row r="8" spans="1:168" s="217" customFormat="1"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8"/>
      <c r="AN8" s="218"/>
      <c r="AO8" s="218"/>
      <c r="AP8" s="218"/>
      <c r="AQ8" s="218"/>
      <c r="AR8" s="218"/>
      <c r="AS8" s="218"/>
      <c r="AT8" s="218"/>
      <c r="AU8" s="218"/>
      <c r="AV8" s="218"/>
      <c r="AW8" s="218"/>
      <c r="AX8" s="218"/>
      <c r="AY8" s="218"/>
      <c r="AZ8" s="218"/>
      <c r="BA8" s="218"/>
      <c r="BB8" s="218"/>
      <c r="BC8" s="218"/>
      <c r="BD8" s="218"/>
      <c r="BE8" s="218"/>
      <c r="BF8" s="218"/>
      <c r="BG8" s="218"/>
      <c r="BH8" s="218"/>
      <c r="BI8" s="218"/>
      <c r="BJ8" s="218"/>
      <c r="BK8" s="218"/>
      <c r="BL8" s="218"/>
      <c r="BM8" s="218"/>
      <c r="BN8" s="218"/>
      <c r="BO8" s="218"/>
      <c r="BP8" s="218"/>
      <c r="BQ8" s="218"/>
      <c r="BR8" s="218"/>
      <c r="BS8" s="218"/>
      <c r="BT8" s="218"/>
      <c r="BU8" s="218"/>
      <c r="BV8" s="218"/>
      <c r="BW8" s="218"/>
      <c r="BX8" s="218"/>
      <c r="BY8" s="218"/>
      <c r="BZ8" s="218"/>
      <c r="CA8" s="218"/>
      <c r="CB8" s="218"/>
      <c r="CC8" s="218"/>
      <c r="CD8" s="218"/>
      <c r="CE8" s="218"/>
      <c r="CF8" s="218"/>
      <c r="CG8" s="218"/>
      <c r="CH8" s="218"/>
      <c r="CI8" s="218"/>
      <c r="CJ8" s="218"/>
      <c r="CK8" s="218"/>
      <c r="CL8" s="218"/>
      <c r="CM8" s="218"/>
      <c r="CN8" s="218"/>
      <c r="CO8" s="218"/>
      <c r="CP8" s="218"/>
      <c r="CQ8" s="218"/>
      <c r="CR8" s="218"/>
      <c r="CS8" s="218"/>
      <c r="CT8" s="218"/>
      <c r="CU8" s="218"/>
      <c r="CV8" s="218"/>
      <c r="CW8" s="218"/>
      <c r="CX8" s="218"/>
      <c r="CY8" s="218"/>
    </row>
    <row r="9" spans="1:168">
      <c r="A9" s="203" t="s">
        <v>961</v>
      </c>
      <c r="B9" s="201" t="s">
        <v>962</v>
      </c>
      <c r="C9" s="201" t="s">
        <v>963</v>
      </c>
      <c r="D9" s="203">
        <v>0.1676</v>
      </c>
      <c r="E9" s="201">
        <v>2.7092999999999999E-2</v>
      </c>
      <c r="F9" s="201">
        <v>27.41085</v>
      </c>
      <c r="G9" s="201">
        <v>7.8137210000000001</v>
      </c>
      <c r="H9" s="201">
        <v>144.21879999999999</v>
      </c>
      <c r="I9" s="201">
        <v>97.634569999999997</v>
      </c>
      <c r="J9" s="201"/>
      <c r="K9" s="201">
        <v>139.994</v>
      </c>
      <c r="L9" s="201">
        <v>1.779328</v>
      </c>
      <c r="M9" s="201">
        <v>2.5349999999999999E-3</v>
      </c>
      <c r="N9" s="201">
        <v>3.9615710000000002</v>
      </c>
      <c r="O9" s="201">
        <v>0</v>
      </c>
      <c r="P9" s="201">
        <v>49.80097</v>
      </c>
      <c r="Q9" s="201">
        <v>8.3626000000000006E-2</v>
      </c>
      <c r="R9" s="201">
        <v>1.0333289999999999</v>
      </c>
      <c r="S9" s="201">
        <v>122.09529999999999</v>
      </c>
      <c r="T9" s="201">
        <v>2365.6990000000001</v>
      </c>
      <c r="U9" s="201">
        <v>3.6554859999999998</v>
      </c>
      <c r="V9" s="201">
        <v>1.6282970000000001</v>
      </c>
      <c r="W9" s="201">
        <v>3262.652</v>
      </c>
      <c r="X9" s="201">
        <v>2136.3989999999999</v>
      </c>
      <c r="Y9" s="201">
        <v>0.252446</v>
      </c>
      <c r="Z9" s="201">
        <v>23.179390000000001</v>
      </c>
      <c r="AA9" s="201">
        <v>379.71499999999997</v>
      </c>
      <c r="AB9" s="201">
        <v>1.321766</v>
      </c>
      <c r="AC9" s="201">
        <v>44.29513</v>
      </c>
      <c r="AD9" s="201">
        <v>0.13713600000000001</v>
      </c>
      <c r="AE9" s="201">
        <v>1.172191</v>
      </c>
      <c r="AF9" s="201">
        <v>0.239866</v>
      </c>
      <c r="AG9" s="201">
        <v>0.90125699999999997</v>
      </c>
      <c r="AH9" s="201">
        <v>1.2624E-2</v>
      </c>
      <c r="AI9" s="201">
        <v>1.560452</v>
      </c>
      <c r="AJ9" s="201">
        <v>1.4709E-2</v>
      </c>
      <c r="AK9" s="201"/>
      <c r="AL9" s="201">
        <f>(E9-AVERAGE(E11:E12))</f>
        <v>9.4704514999999975E-3</v>
      </c>
      <c r="AM9" s="201">
        <f t="shared" ref="AM9" si="7">(F9-AVERAGE(F11:F12))</f>
        <v>26.2658655615</v>
      </c>
      <c r="AN9" s="201">
        <f t="shared" ref="AN9" si="8">(G9-AVERAGE(G11:G12))</f>
        <v>7.789944438</v>
      </c>
      <c r="AO9" s="201">
        <f t="shared" ref="AO9" si="9">(H9-AVERAGE(H11:H12))</f>
        <v>143.63343471649998</v>
      </c>
      <c r="AP9" s="201">
        <f t="shared" ref="AP9" si="10">(I9-AVERAGE(I11:I12))</f>
        <v>95.177847327999999</v>
      </c>
      <c r="AQ9" s="201" t="e">
        <f t="shared" ref="AQ9" si="11">(J9-AVERAGE(J11:J12))</f>
        <v>#DIV/0!</v>
      </c>
      <c r="AR9" s="201">
        <f t="shared" ref="AR9" si="12">(K9-AVERAGE(K11:K12))</f>
        <v>139.73377325600001</v>
      </c>
      <c r="AS9" s="201">
        <f t="shared" ref="AS9" si="13">(L9-AVERAGE(L11:L12))</f>
        <v>1.70107915</v>
      </c>
      <c r="AT9" s="201">
        <f t="shared" ref="AT9" si="14">(M9-AVERAGE(M11:M12))</f>
        <v>7.5696399999999973E-4</v>
      </c>
      <c r="AU9" s="201">
        <f t="shared" ref="AU9" si="15">(N9-AVERAGE(N11:N12))</f>
        <v>0.88723792800000023</v>
      </c>
      <c r="AV9" s="201">
        <f t="shared" ref="AV9" si="16">(O9-AVERAGE(O11:O12))</f>
        <v>-0.13108304200000001</v>
      </c>
      <c r="AW9" s="201">
        <f t="shared" ref="AW9" si="17">(P9-AVERAGE(P11:P12))</f>
        <v>9.3433892950000015</v>
      </c>
      <c r="AX9" s="201">
        <f t="shared" ref="AX9" si="18">(Q9-AVERAGE(Q11:Q12))</f>
        <v>0.108638549</v>
      </c>
      <c r="AY9" s="201">
        <f t="shared" ref="AY9" si="19">(R9-AVERAGE(R11:R12))</f>
        <v>0.57183007249999995</v>
      </c>
      <c r="AZ9" s="201">
        <f t="shared" ref="AZ9" si="20">(S9-AVERAGE(S11:S12))</f>
        <v>121.81347549399999</v>
      </c>
      <c r="BA9" s="201">
        <f t="shared" ref="BA9" si="21">(T9-AVERAGE(T11:T12))</f>
        <v>2354.2336863559999</v>
      </c>
      <c r="BB9" s="201">
        <f t="shared" ref="BB9" si="22">(U9-AVERAGE(U11:U12))</f>
        <v>3.6463700499999998</v>
      </c>
      <c r="BC9" s="201">
        <f t="shared" ref="BC9" si="23">(V9-AVERAGE(V11:V12))</f>
        <v>0.33492774750000009</v>
      </c>
      <c r="BD9" s="201">
        <f t="shared" ref="BD9" si="24">(W9-AVERAGE(W11:W12))</f>
        <v>3257.6814471984999</v>
      </c>
      <c r="BE9" s="201">
        <f t="shared" ref="BE9" si="25">(X9-AVERAGE(X11:X12))</f>
        <v>2133.2996770684999</v>
      </c>
      <c r="BF9" s="201">
        <f t="shared" ref="BF9" si="26">(Y9-AVERAGE(Y11:Y12))</f>
        <v>0.24234388749999999</v>
      </c>
      <c r="BG9" s="201">
        <f t="shared" ref="BG9" si="27">(Z9-AVERAGE(Z11:Z12))</f>
        <v>23.110595574500003</v>
      </c>
      <c r="BH9" s="201">
        <f t="shared" ref="BH9" si="28">(AA9-AVERAGE(AA11:AA12))</f>
        <v>379.51814013349997</v>
      </c>
      <c r="BI9" s="201">
        <f t="shared" ref="BI9" si="29">(AB9-AVERAGE(AB11:AB12))</f>
        <v>1.1636924314999999</v>
      </c>
      <c r="BJ9" s="201">
        <f t="shared" ref="BJ9" si="30">(AC9-AVERAGE(AC11:AC12))</f>
        <v>44.180189663</v>
      </c>
      <c r="BK9" s="201">
        <f t="shared" ref="BK9" si="31">(AD9-AVERAGE(AD11:AD12))</f>
        <v>5.4203269500000012E-2</v>
      </c>
      <c r="BL9" s="201">
        <f t="shared" ref="BL9" si="32">(AE9-AVERAGE(AE11:AE12))</f>
        <v>1.168350698</v>
      </c>
      <c r="BM9" s="201">
        <f t="shared" ref="BM9" si="33">(AF9-AVERAGE(AF11:AF12))</f>
        <v>0.23532301850000001</v>
      </c>
      <c r="BN9" s="201">
        <f t="shared" ref="BN9" si="34">(AG9-AVERAGE(AG11:AG12))</f>
        <v>0.62208410950000004</v>
      </c>
      <c r="BO9" s="201">
        <f t="shared" ref="BO9" si="35">(AH9-AVERAGE(AH11:AH12))</f>
        <v>1.06521915E-2</v>
      </c>
      <c r="BP9" s="201">
        <f t="shared" ref="BP9" si="36">(AI9-AVERAGE(AI11:AI12))</f>
        <v>1.277979819</v>
      </c>
      <c r="BQ9" s="201">
        <f t="shared" ref="BQ9" si="37">(AJ9-AVERAGE(AJ11:AJ12))</f>
        <v>7.4015820000000003E-3</v>
      </c>
      <c r="BR9" s="201"/>
      <c r="BS9" s="201">
        <f>(AL9*15/1000/$D$49)*1000</f>
        <v>1.2961975683197222</v>
      </c>
      <c r="BT9" s="201">
        <f t="shared" ref="BT9:CA9" si="38">(AM9*15/1000/$D$49)*1000</f>
        <v>3594.9448736028103</v>
      </c>
      <c r="BU9" s="201">
        <f t="shared" si="38"/>
        <v>1066.1906708335234</v>
      </c>
      <c r="BV9" s="201">
        <f t="shared" si="38"/>
        <v>19658.75743188558</v>
      </c>
      <c r="BW9" s="201">
        <f t="shared" si="38"/>
        <v>13026.759522970939</v>
      </c>
      <c r="BX9" s="201" t="e">
        <f t="shared" si="38"/>
        <v>#DIV/0!</v>
      </c>
      <c r="BY9" s="201">
        <f t="shared" si="38"/>
        <v>19125.020291436656</v>
      </c>
      <c r="BZ9" s="201">
        <f t="shared" si="38"/>
        <v>232.82254893015195</v>
      </c>
      <c r="CA9" s="201">
        <f t="shared" si="38"/>
        <v>0.1036038140426114</v>
      </c>
      <c r="CB9" s="201">
        <f>(AU9*15/1000/$D$49)</f>
        <v>0.12143408841644239</v>
      </c>
      <c r="CC9" s="201">
        <f t="shared" ref="CC9:CX9" si="39">(AV9*15/1000/$D$49)</f>
        <v>-1.7941015831014193E-2</v>
      </c>
      <c r="CD9" s="201">
        <f t="shared" si="39"/>
        <v>1.2788068746293171</v>
      </c>
      <c r="CE9" s="201">
        <f t="shared" si="39"/>
        <v>1.4869092887449246E-2</v>
      </c>
      <c r="CF9" s="201">
        <f t="shared" si="39"/>
        <v>7.826498551485013E-2</v>
      </c>
      <c r="CG9" s="201">
        <f t="shared" si="39"/>
        <v>16.672312901227244</v>
      </c>
      <c r="CH9" s="201">
        <f t="shared" si="39"/>
        <v>322.21821520452579</v>
      </c>
      <c r="CI9" s="201">
        <f t="shared" si="39"/>
        <v>0.49906976367535011</v>
      </c>
      <c r="CJ9" s="201">
        <f t="shared" si="39"/>
        <v>4.5840742848670117E-2</v>
      </c>
      <c r="CK9" s="201">
        <f t="shared" si="39"/>
        <v>445.87090385489756</v>
      </c>
      <c r="CL9" s="201">
        <f t="shared" si="39"/>
        <v>291.97951691251882</v>
      </c>
      <c r="CM9" s="201">
        <f t="shared" si="39"/>
        <v>3.3169016036315523E-2</v>
      </c>
      <c r="CN9" s="201">
        <f t="shared" si="39"/>
        <v>3.1630907761987324</v>
      </c>
      <c r="CO9" s="201">
        <f t="shared" si="39"/>
        <v>51.943720990943923</v>
      </c>
      <c r="CP9" s="201">
        <f t="shared" si="39"/>
        <v>0.15927174116063686</v>
      </c>
      <c r="CQ9" s="201">
        <f t="shared" si="39"/>
        <v>6.0468346634882986</v>
      </c>
      <c r="CR9" s="201">
        <f t="shared" si="39"/>
        <v>7.4186691226789565E-3</v>
      </c>
      <c r="CS9" s="201">
        <f t="shared" si="39"/>
        <v>0.15990930672019707</v>
      </c>
      <c r="CT9" s="201">
        <f t="shared" si="39"/>
        <v>3.2208086842465442E-2</v>
      </c>
      <c r="CU9" s="201">
        <f t="shared" si="39"/>
        <v>8.5143132829964885E-2</v>
      </c>
      <c r="CV9" s="201">
        <f t="shared" si="39"/>
        <v>1.4579394361056619E-3</v>
      </c>
      <c r="CW9" s="201">
        <f t="shared" si="39"/>
        <v>0.17491397677813772</v>
      </c>
      <c r="CX9" s="201">
        <f t="shared" si="39"/>
        <v>1.0130364523929013E-3</v>
      </c>
      <c r="CY9" s="201"/>
      <c r="CZ9" s="230">
        <f>AVERAGE(E9:E10)</f>
        <v>2.1373999999999997E-2</v>
      </c>
      <c r="DA9" s="230">
        <f t="shared" ref="DA9" si="40">AVERAGE(F9:F10)</f>
        <v>25.323370000000001</v>
      </c>
      <c r="DB9" s="230">
        <f t="shared" ref="DB9" si="41">AVERAGE(G9:G10)</f>
        <v>7.414021</v>
      </c>
      <c r="DC9" s="203">
        <f t="shared" ref="DC9" si="42">AVERAGE(H9:H10)</f>
        <v>136.12615</v>
      </c>
      <c r="DD9" s="203">
        <f t="shared" ref="DD9" si="43">AVERAGE(I9:I10)</f>
        <v>91.633714999999995</v>
      </c>
      <c r="DE9" s="203" t="e">
        <f t="shared" ref="DE9" si="44">AVERAGE(J9:J10)</f>
        <v>#DIV/0!</v>
      </c>
      <c r="DF9" s="203">
        <f t="shared" ref="DF9" si="45">AVERAGE(K9:K10)</f>
        <v>132.42625000000001</v>
      </c>
      <c r="DG9" s="203">
        <f t="shared" ref="DG9" si="46">AVERAGE(L9:L10)</f>
        <v>2.690598</v>
      </c>
      <c r="DH9" s="203">
        <f t="shared" ref="DH9" si="47">AVERAGE(M9:M10)</f>
        <v>2.8909999999999999E-3</v>
      </c>
      <c r="DI9" s="203">
        <f t="shared" ref="DI9" si="48">AVERAGE(N9:N10)</f>
        <v>2.4363305</v>
      </c>
      <c r="DJ9" s="203">
        <f t="shared" ref="DJ9" si="49">AVERAGE(O9:O10)</f>
        <v>0.121665</v>
      </c>
      <c r="DK9" s="203">
        <f t="shared" ref="DK9" si="50">AVERAGE(P9:P10)</f>
        <v>69.851545000000002</v>
      </c>
      <c r="DL9" s="203">
        <f t="shared" ref="DL9" si="51">AVERAGE(Q9:Q10)</f>
        <v>0.1310135</v>
      </c>
      <c r="DM9" s="203">
        <f t="shared" ref="DM9" si="52">AVERAGE(R9:R10)</f>
        <v>1.1849954999999999</v>
      </c>
      <c r="DN9" s="203">
        <f t="shared" ref="DN9" si="53">AVERAGE(S9:S10)</f>
        <v>118.0642</v>
      </c>
      <c r="DO9" s="203">
        <f t="shared" ref="DO9" si="54">AVERAGE(T9:T10)</f>
        <v>2248.88</v>
      </c>
      <c r="DP9" s="203">
        <f t="shared" ref="DP9" si="55">AVERAGE(U9:U10)</f>
        <v>3.4573649999999998</v>
      </c>
      <c r="DQ9" s="203">
        <f t="shared" ref="DQ9" si="56">AVERAGE(V9:V10)</f>
        <v>1.476434</v>
      </c>
      <c r="DR9" s="203">
        <f t="shared" ref="DR9" si="57">AVERAGE(W9:W10)</f>
        <v>3091.7020000000002</v>
      </c>
      <c r="DS9" s="203">
        <f t="shared" ref="DS9" si="58">AVERAGE(X9:X10)</f>
        <v>2027.8575000000001</v>
      </c>
      <c r="DT9" s="203">
        <f t="shared" ref="DT9" si="59">AVERAGE(Y9:Y10)</f>
        <v>0.21600049999999998</v>
      </c>
      <c r="DU9" s="203">
        <f t="shared" ref="DU9" si="60">AVERAGE(Z9:Z10)</f>
        <v>21.933500000000002</v>
      </c>
      <c r="DV9" s="203">
        <f t="shared" ref="DV9" si="61">AVERAGE(AA9:AA10)</f>
        <v>361.33524999999997</v>
      </c>
      <c r="DW9" s="203">
        <f t="shared" ref="DW9" si="62">AVERAGE(AB9:AB10)</f>
        <v>1.9907135</v>
      </c>
      <c r="DX9" s="203">
        <f t="shared" ref="DX9" si="63">AVERAGE(AC9:AC10)</f>
        <v>39.836794999999995</v>
      </c>
      <c r="DY9" s="203">
        <f t="shared" ref="DY9" si="64">AVERAGE(AD9:AD10)</f>
        <v>0.12877</v>
      </c>
      <c r="DZ9" s="203">
        <f t="shared" ref="DZ9" si="65">AVERAGE(AE9:AE10)</f>
        <v>1.048243</v>
      </c>
      <c r="EA9" s="203">
        <f t="shared" ref="EA9" si="66">AVERAGE(AF9:AF10)</f>
        <v>0.23344599999999999</v>
      </c>
      <c r="EB9" s="203">
        <f t="shared" ref="EB9" si="67">AVERAGE(AG9:AG10)</f>
        <v>1.4743659999999998</v>
      </c>
      <c r="EC9" s="203">
        <f t="shared" ref="EC9" si="68">AVERAGE(AH9:AH10)</f>
        <v>1.2233000000000001E-2</v>
      </c>
      <c r="ED9" s="203">
        <f t="shared" ref="ED9" si="69">AVERAGE(AI9:AI10)</f>
        <v>1.3862915</v>
      </c>
      <c r="EE9" s="203">
        <f>AVERAGE(AJ9:AJ10)</f>
        <v>1.4437499999999999E-2</v>
      </c>
    </row>
    <row r="10" spans="1:168">
      <c r="A10" s="203" t="s">
        <v>961</v>
      </c>
      <c r="B10" s="201" t="s">
        <v>964</v>
      </c>
      <c r="C10" s="201" t="s">
        <v>965</v>
      </c>
      <c r="D10" s="203">
        <v>0.1522</v>
      </c>
      <c r="E10" s="201">
        <v>1.5654999999999999E-2</v>
      </c>
      <c r="F10" s="201">
        <v>23.235890000000001</v>
      </c>
      <c r="G10" s="201">
        <v>7.0143209999999998</v>
      </c>
      <c r="H10" s="201">
        <v>128.0335</v>
      </c>
      <c r="I10" s="201">
        <v>85.632859999999994</v>
      </c>
      <c r="J10" s="201"/>
      <c r="K10" s="201">
        <v>124.85850000000001</v>
      </c>
      <c r="L10" s="201">
        <v>3.6018680000000001</v>
      </c>
      <c r="M10" s="201">
        <v>3.2469999999999999E-3</v>
      </c>
      <c r="N10" s="201">
        <v>0.91108999999999996</v>
      </c>
      <c r="O10" s="201">
        <v>0.24332999999999999</v>
      </c>
      <c r="P10" s="201">
        <v>89.902119999999996</v>
      </c>
      <c r="Q10" s="201">
        <v>0.178401</v>
      </c>
      <c r="R10" s="201">
        <v>1.336662</v>
      </c>
      <c r="S10" s="201">
        <v>114.0331</v>
      </c>
      <c r="T10" s="201">
        <v>2132.0610000000001</v>
      </c>
      <c r="U10" s="201">
        <v>3.2592439999999998</v>
      </c>
      <c r="V10" s="201">
        <v>1.3245709999999999</v>
      </c>
      <c r="W10" s="201">
        <v>2920.752</v>
      </c>
      <c r="X10" s="201">
        <v>1919.316</v>
      </c>
      <c r="Y10" s="201">
        <v>0.17955499999999999</v>
      </c>
      <c r="Z10" s="201">
        <v>20.687609999999999</v>
      </c>
      <c r="AA10" s="201">
        <v>342.95549999999997</v>
      </c>
      <c r="AB10" s="201">
        <v>2.6596609999999998</v>
      </c>
      <c r="AC10" s="201">
        <v>35.378459999999997</v>
      </c>
      <c r="AD10" s="201">
        <v>0.120404</v>
      </c>
      <c r="AE10" s="201">
        <v>0.92429499999999998</v>
      </c>
      <c r="AF10" s="201">
        <v>0.22702600000000001</v>
      </c>
      <c r="AG10" s="201">
        <v>2.0474749999999999</v>
      </c>
      <c r="AH10" s="201">
        <v>1.1842E-2</v>
      </c>
      <c r="AI10" s="201">
        <v>1.2121310000000001</v>
      </c>
      <c r="AJ10" s="201">
        <v>1.4166E-2</v>
      </c>
      <c r="AK10" s="201"/>
      <c r="AL10" s="201">
        <f>(E10-AVERAGE(E11:E12))</f>
        <v>-1.9675485000000027E-3</v>
      </c>
      <c r="AM10" s="201">
        <f t="shared" ref="AM10" si="70">(F10-AVERAGE(F11:F12))</f>
        <v>22.090905561500001</v>
      </c>
      <c r="AN10" s="201">
        <f t="shared" ref="AN10" si="71">(G10-AVERAGE(G11:G12))</f>
        <v>6.9905444379999997</v>
      </c>
      <c r="AO10" s="201">
        <f t="shared" ref="AO10" si="72">(H10-AVERAGE(H11:H12))</f>
        <v>127.44813471650001</v>
      </c>
      <c r="AP10" s="201">
        <f t="shared" ref="AP10" si="73">(I10-AVERAGE(I11:I12))</f>
        <v>83.176137327999996</v>
      </c>
      <c r="AQ10" s="201" t="e">
        <f t="shared" ref="AQ10" si="74">(J10-AVERAGE(J11:J12))</f>
        <v>#DIV/0!</v>
      </c>
      <c r="AR10" s="201">
        <f t="shared" ref="AR10" si="75">(K10-AVERAGE(K11:K12))</f>
        <v>124.59827325600001</v>
      </c>
      <c r="AS10" s="201">
        <f t="shared" ref="AS10" si="76">(L10-AVERAGE(L11:L12))</f>
        <v>3.52361915</v>
      </c>
      <c r="AT10" s="201">
        <f t="shared" ref="AT10" si="77">(M10-AVERAGE(M11:M12))</f>
        <v>1.4689639999999997E-3</v>
      </c>
      <c r="AU10" s="201">
        <f t="shared" ref="AU10" si="78">(N10-AVERAGE(N11:N12))</f>
        <v>-2.1632430720000002</v>
      </c>
      <c r="AV10" s="201">
        <f t="shared" ref="AV10" si="79">(O10-AVERAGE(O11:O12))</f>
        <v>0.11224695799999998</v>
      </c>
      <c r="AW10" s="201">
        <f>(P10-AVERAGE(P11:P12))</f>
        <v>49.444539294999998</v>
      </c>
      <c r="AX10" s="201">
        <f t="shared" ref="AX10" si="80">(Q10-AVERAGE(Q11:Q12))</f>
        <v>0.203413549</v>
      </c>
      <c r="AY10" s="201">
        <f t="shared" ref="AY10" si="81">(R10-AVERAGE(R11:R12))</f>
        <v>0.87516307250000003</v>
      </c>
      <c r="AZ10" s="201">
        <f t="shared" ref="AZ10" si="82">(S10-AVERAGE(S11:S12))</f>
        <v>113.751275494</v>
      </c>
      <c r="BA10" s="201">
        <f t="shared" ref="BA10" si="83">(T10-AVERAGE(T11:T12))</f>
        <v>2120.595686356</v>
      </c>
      <c r="BB10" s="201">
        <f t="shared" ref="BB10" si="84">(U10-AVERAGE(U11:U12))</f>
        <v>3.2501280499999998</v>
      </c>
      <c r="BC10" s="201">
        <f t="shared" ref="BC10" si="85">(V10-AVERAGE(V11:V12))</f>
        <v>3.1201747499999932E-2</v>
      </c>
      <c r="BD10" s="201">
        <f t="shared" ref="BD10" si="86">(W10-AVERAGE(W11:W12))</f>
        <v>2915.7814471984998</v>
      </c>
      <c r="BE10" s="201">
        <f t="shared" ref="BE10" si="87">(X10-AVERAGE(X11:X12))</f>
        <v>1916.2166770685001</v>
      </c>
      <c r="BF10" s="201">
        <f t="shared" ref="BF10" si="88">(Y10-AVERAGE(Y11:Y12))</f>
        <v>0.16945288749999998</v>
      </c>
      <c r="BG10" s="201">
        <f t="shared" ref="BG10" si="89">(Z10-AVERAGE(Z11:Z12))</f>
        <v>20.618815574500001</v>
      </c>
      <c r="BH10" s="201">
        <f t="shared" ref="BH10" si="90">(AA10-AVERAGE(AA11:AA12))</f>
        <v>342.75864013349997</v>
      </c>
      <c r="BI10" s="201">
        <f t="shared" ref="BI10" si="91">(AB10-AVERAGE(AB11:AB12))</f>
        <v>2.5015874315</v>
      </c>
      <c r="BJ10" s="201">
        <f t="shared" ref="BJ10" si="92">(AC10-AVERAGE(AC11:AC12))</f>
        <v>35.263519662999997</v>
      </c>
      <c r="BK10" s="201">
        <f t="shared" ref="BK10" si="93">(AD10-AVERAGE(AD11:AD12))</f>
        <v>3.7471269500000001E-2</v>
      </c>
      <c r="BL10" s="201">
        <f t="shared" ref="BL10" si="94">(AE10-AVERAGE(AE11:AE12))</f>
        <v>0.92045469800000002</v>
      </c>
      <c r="BM10" s="201">
        <f t="shared" ref="BM10" si="95">(AF10-AVERAGE(AF11:AF12))</f>
        <v>0.22248301850000002</v>
      </c>
      <c r="BN10" s="201">
        <f t="shared" ref="BN10" si="96">(AG10-AVERAGE(AG11:AG12))</f>
        <v>1.7683021095</v>
      </c>
      <c r="BO10" s="201">
        <f t="shared" ref="BO10" si="97">(AH10-AVERAGE(AH11:AH12))</f>
        <v>9.8701915000000001E-3</v>
      </c>
      <c r="BP10" s="201">
        <f t="shared" ref="BP10" si="98">(AI10-AVERAGE(AI11:AI12))</f>
        <v>0.92965881900000014</v>
      </c>
      <c r="BQ10" s="201">
        <f>(AJ10-AVERAGE(AJ11:AJ12))</f>
        <v>6.8585820000000002E-3</v>
      </c>
      <c r="BR10" s="201"/>
      <c r="BS10" s="201">
        <f>(AL10*15/1000/$D$10)*1000</f>
        <v>-0.19391082457293063</v>
      </c>
      <c r="BT10" s="201">
        <f t="shared" ref="BT10:CA10" si="99">(AM10*15/1000/$D$10)*1000</f>
        <v>2177.1588923948757</v>
      </c>
      <c r="BU10" s="201">
        <f t="shared" si="99"/>
        <v>688.9498460578186</v>
      </c>
      <c r="BV10" s="201">
        <f t="shared" si="99"/>
        <v>12560.5914635184</v>
      </c>
      <c r="BW10" s="201">
        <f t="shared" si="99"/>
        <v>8197.3854134034154</v>
      </c>
      <c r="BX10" s="201" t="e">
        <f t="shared" si="99"/>
        <v>#DIV/0!</v>
      </c>
      <c r="BY10" s="201">
        <f t="shared" si="99"/>
        <v>12279.724696714849</v>
      </c>
      <c r="BZ10" s="201">
        <f t="shared" si="99"/>
        <v>347.26864159001315</v>
      </c>
      <c r="CA10" s="201">
        <f t="shared" si="99"/>
        <v>0.14477306176084095</v>
      </c>
      <c r="CB10" s="201">
        <f>(AU10*15/1000/$D$10)</f>
        <v>-0.21319741182654406</v>
      </c>
      <c r="CC10" s="201">
        <f t="shared" ref="CC10:CX10" si="100">(AV10*15/1000/$D$10)</f>
        <v>1.1062446583442836E-2</v>
      </c>
      <c r="CD10" s="201">
        <f t="shared" si="100"/>
        <v>4.8729835047634689</v>
      </c>
      <c r="CE10" s="201">
        <f t="shared" si="100"/>
        <v>2.0047327431011827E-2</v>
      </c>
      <c r="CF10" s="201">
        <f t="shared" si="100"/>
        <v>8.6251288354139297E-2</v>
      </c>
      <c r="CG10" s="201">
        <f t="shared" si="100"/>
        <v>11.210703892312745</v>
      </c>
      <c r="CH10" s="201">
        <f t="shared" si="100"/>
        <v>208.99431862904072</v>
      </c>
      <c r="CI10" s="201">
        <f t="shared" si="100"/>
        <v>0.32031485381077529</v>
      </c>
      <c r="CJ10" s="201">
        <f t="shared" si="100"/>
        <v>3.075073669513791E-3</v>
      </c>
      <c r="CK10" s="201">
        <f t="shared" si="100"/>
        <v>287.36348034150791</v>
      </c>
      <c r="CL10" s="201">
        <f t="shared" si="100"/>
        <v>188.85184070977331</v>
      </c>
      <c r="CM10" s="201">
        <f t="shared" si="100"/>
        <v>1.6700350279237844E-2</v>
      </c>
      <c r="CN10" s="201">
        <f t="shared" si="100"/>
        <v>2.0320777504434955</v>
      </c>
      <c r="CO10" s="201">
        <f t="shared" si="100"/>
        <v>33.780417884379098</v>
      </c>
      <c r="CP10" s="201">
        <f t="shared" si="100"/>
        <v>0.24654278234231275</v>
      </c>
      <c r="CQ10" s="201">
        <f t="shared" si="100"/>
        <v>3.475379730256241</v>
      </c>
      <c r="CR10" s="201">
        <f t="shared" si="100"/>
        <v>3.6929634855453353E-3</v>
      </c>
      <c r="CS10" s="201">
        <f t="shared" si="100"/>
        <v>9.071498337713535E-2</v>
      </c>
      <c r="CT10" s="201">
        <f t="shared" si="100"/>
        <v>2.1926710101839685E-2</v>
      </c>
      <c r="CU10" s="201">
        <f t="shared" si="100"/>
        <v>0.17427418950394219</v>
      </c>
      <c r="CV10" s="201">
        <f t="shared" si="100"/>
        <v>9.727521189224703E-4</v>
      </c>
      <c r="CW10" s="201">
        <f t="shared" si="100"/>
        <v>9.1622091228646521E-2</v>
      </c>
      <c r="CX10" s="201">
        <f t="shared" si="100"/>
        <v>6.7594434954007878E-4</v>
      </c>
      <c r="CY10" s="201"/>
    </row>
    <row r="11" spans="1:168">
      <c r="B11" s="201" t="s">
        <v>957</v>
      </c>
      <c r="C11" s="201" t="s">
        <v>966</v>
      </c>
      <c r="D11" s="203">
        <v>0</v>
      </c>
      <c r="E11" s="201">
        <v>1.7268711999999999E-2</v>
      </c>
      <c r="F11" s="201">
        <v>1.896655787</v>
      </c>
      <c r="G11" s="201">
        <v>3.3367831000000001E-2</v>
      </c>
      <c r="H11" s="201">
        <v>0.64453891600000002</v>
      </c>
      <c r="I11" s="201">
        <v>2.7802763150000001</v>
      </c>
      <c r="K11" s="201">
        <v>0.40548938000000001</v>
      </c>
      <c r="L11" s="201">
        <v>0.160246902</v>
      </c>
      <c r="M11" s="201">
        <v>2.0298170000000002E-3</v>
      </c>
      <c r="N11" s="201">
        <v>3.5757064160000001</v>
      </c>
      <c r="O11" s="201">
        <v>0</v>
      </c>
      <c r="P11" s="201">
        <v>41.760606410000001</v>
      </c>
      <c r="Q11" s="201">
        <v>-2.3675307999999999E-2</v>
      </c>
      <c r="R11" s="201">
        <v>0.40528140200000001</v>
      </c>
      <c r="S11" s="201">
        <v>0.33188968099999999</v>
      </c>
      <c r="T11" s="201">
        <v>14.08485973</v>
      </c>
      <c r="U11" s="201">
        <v>8.655879E-3</v>
      </c>
      <c r="V11" s="201">
        <v>1.025039088</v>
      </c>
      <c r="W11" s="201">
        <v>4.5985074629999998</v>
      </c>
      <c r="X11" s="201">
        <v>5.3305908520000003</v>
      </c>
      <c r="Y11" s="201">
        <v>1.7328386000000001E-2</v>
      </c>
      <c r="Z11" s="201">
        <v>0.12616461000000001</v>
      </c>
      <c r="AA11" s="201">
        <v>0.321789345</v>
      </c>
      <c r="AB11" s="201">
        <v>0.29834657199999998</v>
      </c>
      <c r="AC11" s="201">
        <v>0.13718529800000001</v>
      </c>
      <c r="AD11" s="201">
        <v>9.2056400999999996E-2</v>
      </c>
      <c r="AE11" s="201">
        <v>2.9237439999999998E-3</v>
      </c>
      <c r="AF11" s="201">
        <v>4.131989E-3</v>
      </c>
      <c r="AG11" s="201">
        <v>0.37654811799999999</v>
      </c>
      <c r="AH11" s="201">
        <v>3.8559169999999999E-3</v>
      </c>
      <c r="AI11" s="201">
        <v>0.20481970299999999</v>
      </c>
      <c r="AJ11" s="201">
        <v>9.6060069999999997E-3</v>
      </c>
      <c r="AK11" s="201"/>
      <c r="AL11" s="201"/>
      <c r="AM11" s="201"/>
      <c r="AN11" s="201"/>
      <c r="AO11" s="201"/>
      <c r="AP11" s="201"/>
      <c r="AQ11" s="201"/>
      <c r="AR11" s="201"/>
      <c r="AS11" s="201"/>
      <c r="AT11" s="201"/>
      <c r="AU11" s="201"/>
      <c r="AV11" s="201"/>
      <c r="AW11" s="201"/>
      <c r="AX11" s="201"/>
      <c r="AY11" s="201"/>
      <c r="AZ11" s="201"/>
      <c r="BA11" s="201"/>
      <c r="BB11" s="201"/>
      <c r="BC11" s="201"/>
      <c r="BD11" s="201"/>
      <c r="BE11" s="201"/>
      <c r="BF11" s="201"/>
      <c r="BG11" s="201"/>
      <c r="BH11" s="201"/>
      <c r="BI11" s="201"/>
      <c r="BJ11" s="201"/>
      <c r="BK11" s="201"/>
      <c r="BL11" s="201"/>
      <c r="BM11" s="201"/>
      <c r="BN11" s="201"/>
      <c r="BO11" s="201"/>
      <c r="BP11" s="201"/>
      <c r="BQ11" s="201"/>
      <c r="BR11" s="201"/>
      <c r="BS11" s="201"/>
      <c r="BT11" s="201"/>
      <c r="BU11" s="201"/>
      <c r="BV11" s="201"/>
      <c r="BW11" s="201"/>
      <c r="BX11" s="201"/>
      <c r="BY11" s="201"/>
      <c r="BZ11" s="201"/>
      <c r="CA11" s="201"/>
      <c r="CB11" s="201"/>
      <c r="CC11" s="201"/>
      <c r="CD11" s="201"/>
      <c r="CE11" s="201"/>
      <c r="CF11" s="201"/>
      <c r="CG11" s="201"/>
      <c r="CH11" s="201"/>
      <c r="CI11" s="201"/>
      <c r="CJ11" s="201"/>
      <c r="CK11" s="201"/>
      <c r="CL11" s="201"/>
      <c r="CM11" s="201"/>
      <c r="CN11" s="201"/>
      <c r="CO11" s="201"/>
      <c r="CP11" s="201"/>
      <c r="CQ11" s="201"/>
      <c r="CR11" s="201"/>
      <c r="CS11" s="201"/>
      <c r="CT11" s="201"/>
      <c r="CU11" s="201"/>
      <c r="CV11" s="201"/>
      <c r="CW11" s="201"/>
      <c r="CX11" s="201"/>
      <c r="CY11" s="201"/>
      <c r="CZ11" s="221" t="s">
        <v>959</v>
      </c>
    </row>
    <row r="12" spans="1:168">
      <c r="B12" s="201" t="s">
        <v>957</v>
      </c>
      <c r="C12" s="201" t="s">
        <v>967</v>
      </c>
      <c r="D12" s="203">
        <v>0</v>
      </c>
      <c r="E12" s="201">
        <v>1.7976385000000001E-2</v>
      </c>
      <c r="F12" s="201">
        <v>0.39331308999999998</v>
      </c>
      <c r="G12" s="201">
        <v>1.4185293E-2</v>
      </c>
      <c r="H12" s="201">
        <v>0.52619165099999998</v>
      </c>
      <c r="I12" s="201">
        <v>2.1331690289999998</v>
      </c>
      <c r="K12" s="201">
        <v>0.114964108</v>
      </c>
      <c r="L12" s="201">
        <v>-3.7492020000000001E-3</v>
      </c>
      <c r="M12" s="201">
        <v>1.526255E-3</v>
      </c>
      <c r="N12" s="201">
        <v>2.5729597279999998</v>
      </c>
      <c r="O12" s="201">
        <v>0.26216608400000002</v>
      </c>
      <c r="P12" s="201">
        <v>39.154555000000002</v>
      </c>
      <c r="Q12" s="201">
        <v>-2.6349790000000001E-2</v>
      </c>
      <c r="R12" s="201">
        <v>0.51771645300000002</v>
      </c>
      <c r="S12" s="201">
        <v>0.23175933100000001</v>
      </c>
      <c r="T12" s="201">
        <v>8.8457675580000004</v>
      </c>
      <c r="U12" s="201">
        <v>9.5760210000000005E-3</v>
      </c>
      <c r="V12" s="201">
        <v>1.561699417</v>
      </c>
      <c r="W12" s="201">
        <v>5.3425981399999998</v>
      </c>
      <c r="X12" s="201">
        <v>0.86805501100000004</v>
      </c>
      <c r="Y12" s="201">
        <v>2.8758389999999998E-3</v>
      </c>
      <c r="Z12" s="201">
        <v>1.1424241E-2</v>
      </c>
      <c r="AA12" s="201">
        <v>7.1930387999999998E-2</v>
      </c>
      <c r="AB12" s="201">
        <v>1.7800565000000001E-2</v>
      </c>
      <c r="AC12" s="201">
        <v>9.2695375999999996E-2</v>
      </c>
      <c r="AD12" s="201">
        <v>7.3809059999999996E-2</v>
      </c>
      <c r="AE12" s="201">
        <v>4.7568599999999999E-3</v>
      </c>
      <c r="AF12" s="201">
        <v>4.9539739999999999E-3</v>
      </c>
      <c r="AG12" s="201">
        <v>0.181797663</v>
      </c>
      <c r="AH12" s="205">
        <v>8.7700000000000004E-5</v>
      </c>
      <c r="AI12" s="201">
        <v>0.36012465900000001</v>
      </c>
      <c r="AJ12" s="201">
        <v>5.0088290000000002E-3</v>
      </c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1"/>
      <c r="BK12" s="201"/>
      <c r="BL12" s="201"/>
      <c r="BM12" s="201"/>
      <c r="BN12" s="201"/>
      <c r="BO12" s="201"/>
      <c r="BP12" s="201"/>
      <c r="BQ12" s="201"/>
      <c r="BR12" s="201"/>
      <c r="BS12" s="201"/>
      <c r="BT12" s="201"/>
      <c r="BU12" s="201"/>
      <c r="BV12" s="201"/>
      <c r="BW12" s="201"/>
      <c r="BX12" s="201"/>
      <c r="BY12" s="201"/>
      <c r="BZ12" s="201"/>
      <c r="CA12" s="201"/>
      <c r="CB12" s="201"/>
      <c r="CC12" s="201"/>
      <c r="CD12" s="201"/>
      <c r="CE12" s="201"/>
      <c r="CF12" s="201"/>
      <c r="CG12" s="201"/>
      <c r="CH12" s="201"/>
      <c r="CI12" s="201"/>
      <c r="CJ12" s="201"/>
      <c r="CK12" s="201"/>
      <c r="CL12" s="201"/>
      <c r="CM12" s="201"/>
      <c r="CN12" s="201"/>
      <c r="CO12" s="201"/>
      <c r="CP12" s="201"/>
      <c r="CQ12" s="201"/>
      <c r="CR12" s="201"/>
      <c r="CS12" s="201"/>
      <c r="CT12" s="201"/>
      <c r="CU12" s="201"/>
      <c r="CV12" s="201"/>
      <c r="CW12" s="201"/>
      <c r="CX12" s="201"/>
      <c r="CY12" s="201"/>
      <c r="CZ12" s="222">
        <v>1</v>
      </c>
      <c r="DA12" s="229">
        <f>DA9/$B$27</f>
        <v>1.2456158386620758E-2</v>
      </c>
      <c r="DB12" s="203">
        <f>DB9/$B$28</f>
        <v>1.1958098387096773E-2</v>
      </c>
      <c r="DC12" s="203">
        <f>DC9/$B$29</f>
        <v>1.1585204255319148E-2</v>
      </c>
      <c r="DD12" s="203">
        <f>DD9/$B$30</f>
        <v>1.2234140854472629E-2</v>
      </c>
      <c r="DE12" s="203" t="e">
        <f>DE9/$B$31</f>
        <v>#DIV/0!</v>
      </c>
      <c r="DF12" s="203">
        <f>DF9/$B$32</f>
        <v>1.294489247311828E-2</v>
      </c>
      <c r="DG12" s="203">
        <f>DG9/$B$33</f>
        <v>2.053891603053435E-2</v>
      </c>
      <c r="DH12" s="222">
        <v>1</v>
      </c>
      <c r="DI12" s="222">
        <v>1</v>
      </c>
      <c r="DJ12" s="222">
        <v>1</v>
      </c>
      <c r="DK12" s="222">
        <v>1</v>
      </c>
      <c r="DL12" s="203">
        <f>DL9/$B$38</f>
        <v>16.376687499999999</v>
      </c>
      <c r="DM12" s="203">
        <f>DM9/$B$39</f>
        <v>22.358405660377358</v>
      </c>
      <c r="DN12" s="203">
        <f>DN9/$B$40</f>
        <v>11.287208413001911</v>
      </c>
      <c r="DO12" s="203">
        <f>DO9/$B$41</f>
        <v>11.361422653329292</v>
      </c>
      <c r="DP12" s="203">
        <f>DP9/$B$42</f>
        <v>11.52455</v>
      </c>
      <c r="DQ12" s="203">
        <f>DQ9/$B$43</f>
        <v>3.3178292134831464E-2</v>
      </c>
      <c r="DR12" s="203">
        <f>DR9/$B$44</f>
        <v>11.234382267441863</v>
      </c>
      <c r="DS12" s="203">
        <f>DS9/$B$45</f>
        <v>11.197446162341249</v>
      </c>
      <c r="DT12" s="203">
        <f>DT9/$B$46</f>
        <v>11.020433673469388</v>
      </c>
      <c r="DU12" s="203">
        <f>DU9/$B$47</f>
        <v>10.799359921221074</v>
      </c>
      <c r="DV12" s="203">
        <f>DV9/$B$48</f>
        <v>10.236126062322946</v>
      </c>
      <c r="DW12" s="203">
        <f>DW9/$B$49</f>
        <v>20.888913955928647</v>
      </c>
      <c r="DX12" s="203">
        <f>DX9/$B$50</f>
        <v>12.071756060606059</v>
      </c>
      <c r="DY12" s="203">
        <f>DY9/$B$51</f>
        <v>21.825423728813558</v>
      </c>
      <c r="DZ12" s="203">
        <f>DZ9/$B$52</f>
        <v>10.806628865979382</v>
      </c>
      <c r="EA12" s="203">
        <f>EA9/$B$53</f>
        <v>11.11647619047619</v>
      </c>
      <c r="EB12" s="222">
        <v>1</v>
      </c>
      <c r="EC12" s="222">
        <v>1</v>
      </c>
      <c r="ED12" s="203">
        <f>ED9/$B$56</f>
        <v>22.07470541401274</v>
      </c>
      <c r="EE12" s="222">
        <v>1</v>
      </c>
    </row>
    <row r="13" spans="1:168" s="217" customFormat="1">
      <c r="B13" s="218"/>
      <c r="C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218"/>
      <c r="AH13" s="218"/>
      <c r="AI13" s="218"/>
      <c r="AJ13" s="218"/>
      <c r="AK13" s="218"/>
      <c r="AL13" s="218"/>
      <c r="AM13" s="218"/>
      <c r="AN13" s="218"/>
      <c r="AO13" s="218"/>
      <c r="AP13" s="218"/>
      <c r="AQ13" s="218"/>
      <c r="AR13" s="218"/>
      <c r="AS13" s="218"/>
      <c r="AT13" s="218"/>
      <c r="AU13" s="218"/>
      <c r="AV13" s="218"/>
      <c r="AW13" s="218"/>
      <c r="AX13" s="218"/>
      <c r="AY13" s="218"/>
      <c r="AZ13" s="218"/>
      <c r="BA13" s="218"/>
      <c r="BB13" s="218"/>
      <c r="BC13" s="218"/>
      <c r="BD13" s="218"/>
      <c r="BE13" s="218"/>
      <c r="BF13" s="218"/>
      <c r="BG13" s="218"/>
      <c r="BH13" s="218"/>
      <c r="BI13" s="218"/>
      <c r="BJ13" s="218"/>
      <c r="BK13" s="218"/>
      <c r="BL13" s="218"/>
      <c r="BM13" s="218"/>
      <c r="BN13" s="218"/>
      <c r="BO13" s="218"/>
      <c r="BP13" s="218"/>
      <c r="BQ13" s="218"/>
      <c r="BR13" s="218"/>
      <c r="BS13" s="218"/>
      <c r="BT13" s="218"/>
      <c r="BU13" s="218"/>
      <c r="BV13" s="218"/>
      <c r="BW13" s="218"/>
      <c r="BX13" s="218"/>
      <c r="BY13" s="218"/>
      <c r="BZ13" s="218"/>
      <c r="CA13" s="218"/>
      <c r="CB13" s="218"/>
      <c r="CC13" s="218"/>
      <c r="CD13" s="218"/>
      <c r="CE13" s="218"/>
      <c r="CF13" s="218"/>
      <c r="CG13" s="218"/>
      <c r="CH13" s="218"/>
      <c r="CI13" s="218"/>
      <c r="CJ13" s="218"/>
      <c r="CK13" s="218"/>
      <c r="CL13" s="218"/>
      <c r="CM13" s="218"/>
      <c r="CN13" s="218"/>
      <c r="CO13" s="218"/>
      <c r="CP13" s="218"/>
      <c r="CQ13" s="218"/>
      <c r="CR13" s="218"/>
      <c r="CS13" s="218"/>
      <c r="CT13" s="218"/>
      <c r="CU13" s="218"/>
      <c r="CV13" s="218"/>
      <c r="CW13" s="218"/>
      <c r="CX13" s="218"/>
      <c r="CY13" s="218"/>
    </row>
    <row r="14" spans="1:168">
      <c r="A14" s="204">
        <v>44718</v>
      </c>
      <c r="B14" s="201" t="s">
        <v>955</v>
      </c>
      <c r="C14" s="201" t="s">
        <v>964</v>
      </c>
      <c r="D14" s="201">
        <v>0.15659999999999999</v>
      </c>
      <c r="E14" s="201">
        <v>1.3311E-2</v>
      </c>
      <c r="F14" s="201">
        <v>23.452179999999998</v>
      </c>
      <c r="G14" s="201">
        <v>7.1218769999999996</v>
      </c>
      <c r="H14" s="201">
        <v>132.51159999999999</v>
      </c>
      <c r="I14" s="201">
        <v>91.698009999999996</v>
      </c>
      <c r="J14" s="201"/>
      <c r="K14" s="201">
        <v>130.65280000000001</v>
      </c>
      <c r="L14" s="201">
        <v>2.182178</v>
      </c>
      <c r="M14" s="201">
        <v>1.903E-3</v>
      </c>
      <c r="N14" s="201">
        <v>0.46380199999999999</v>
      </c>
      <c r="O14" s="201">
        <v>0</v>
      </c>
      <c r="P14" s="201">
        <v>50.691519999999997</v>
      </c>
      <c r="Q14" s="201">
        <v>0.11830300000000001</v>
      </c>
      <c r="R14" s="201">
        <v>1.4311640000000001</v>
      </c>
      <c r="S14" s="201">
        <v>116.47199999999999</v>
      </c>
      <c r="T14" s="201">
        <v>2167.9920000000002</v>
      </c>
      <c r="U14" s="201">
        <v>3.3718159999999999</v>
      </c>
      <c r="V14" s="201">
        <v>1.652819</v>
      </c>
      <c r="W14" s="201">
        <v>3064.2570000000001</v>
      </c>
      <c r="X14" s="201">
        <v>2060.09</v>
      </c>
      <c r="Y14" s="201">
        <v>0.231101</v>
      </c>
      <c r="Z14" s="201">
        <v>22.8186</v>
      </c>
      <c r="AA14" s="201">
        <v>376.11489999999998</v>
      </c>
      <c r="AB14" s="201">
        <v>1.8500570000000001</v>
      </c>
      <c r="AC14" s="201">
        <v>38.224299999999999</v>
      </c>
      <c r="AD14" s="201">
        <v>9.0939000000000006E-2</v>
      </c>
      <c r="AE14" s="201">
        <v>1.1233610000000001</v>
      </c>
      <c r="AF14" s="201">
        <v>0.23252100000000001</v>
      </c>
      <c r="AG14" s="201">
        <v>0.93869800000000003</v>
      </c>
      <c r="AH14" s="201">
        <v>9.7490000000000007E-3</v>
      </c>
      <c r="AI14" s="201">
        <v>0.91541899999999998</v>
      </c>
      <c r="AJ14" s="201">
        <v>2.1409999999999998E-2</v>
      </c>
      <c r="AK14" s="201"/>
      <c r="AL14" s="201">
        <f>(E14-AVERAGE(E16:E17))</f>
        <v>1.3754000000000001E-2</v>
      </c>
      <c r="AM14" s="201">
        <f t="shared" ref="AM14" si="101">(F14-AVERAGE(F16:F17))</f>
        <v>23.150854499999998</v>
      </c>
      <c r="AN14" s="201">
        <f t="shared" ref="AN14" si="102">(G14-AVERAGE(G16:G17))</f>
        <v>7.0311589999999997</v>
      </c>
      <c r="AO14" s="201">
        <f t="shared" ref="AO14" si="103">(H14-AVERAGE(H16:H17))</f>
        <v>131.92697749999999</v>
      </c>
      <c r="AP14" s="201">
        <f t="shared" ref="AP14" si="104">(I14-AVERAGE(I16:I17))</f>
        <v>87.490076999999999</v>
      </c>
      <c r="AQ14" s="201" t="e">
        <f t="shared" ref="AQ14" si="105">(J14-AVERAGE(J16:J17))</f>
        <v>#DIV/0!</v>
      </c>
      <c r="AR14" s="201">
        <f t="shared" ref="AR14" si="106">(K14-AVERAGE(K16:K17))</f>
        <v>130.48479350000002</v>
      </c>
      <c r="AS14" s="201">
        <f t="shared" ref="AS14" si="107">(L14-AVERAGE(L16:L17))</f>
        <v>1.2056099999999998</v>
      </c>
      <c r="AT14" s="201">
        <f t="shared" ref="AT14" si="108">(M14-AVERAGE(M16:M17))</f>
        <v>-6.0500000000000007E-5</v>
      </c>
      <c r="AU14" s="201">
        <f t="shared" ref="AU14" si="109">(N14-AVERAGE(N16:N17))</f>
        <v>0.21022550000000001</v>
      </c>
      <c r="AV14" s="201">
        <f t="shared" ref="AV14" si="110">(O14-AVERAGE(O16:O17))</f>
        <v>-7.7091000000000007E-2</v>
      </c>
      <c r="AW14" s="201">
        <f t="shared" ref="AW14" si="111">(P14-AVERAGE(P16:P17))</f>
        <v>-0.77568500000000284</v>
      </c>
      <c r="AX14" s="201">
        <f t="shared" ref="AX14" si="112">(Q14-AVERAGE(Q16:Q17))</f>
        <v>0.10844150000000001</v>
      </c>
      <c r="AY14" s="201">
        <f t="shared" ref="AY14" si="113">(R14-AVERAGE(R16:R17))</f>
        <v>0.324905</v>
      </c>
      <c r="AZ14" s="201">
        <f t="shared" ref="AZ14" si="114">(S14-AVERAGE(S16:S17))</f>
        <v>115.90125949999999</v>
      </c>
      <c r="BA14" s="201">
        <f t="shared" ref="BA14" si="115">(T14-AVERAGE(T16:T17))</f>
        <v>2161.3693345000002</v>
      </c>
      <c r="BB14" s="201">
        <f t="shared" ref="BB14" si="116">(U14-AVERAGE(U16:U17))</f>
        <v>3.3303644999999999</v>
      </c>
      <c r="BC14" s="201">
        <f t="shared" ref="BC14" si="117">(V14-AVERAGE(V16:V17))</f>
        <v>0.18723100000000015</v>
      </c>
      <c r="BD14" s="201">
        <f t="shared" ref="BD14" si="118">(W14-AVERAGE(W16:W17))</f>
        <v>3051.1275700000001</v>
      </c>
      <c r="BE14" s="201">
        <f t="shared" ref="BE14" si="119">(X14-AVERAGE(X16:X17))</f>
        <v>2027.6892550000002</v>
      </c>
      <c r="BF14" s="201">
        <f t="shared" ref="BF14" si="120">(Y14-AVERAGE(Y16:Y17))</f>
        <v>0.218724</v>
      </c>
      <c r="BG14" s="201">
        <f t="shared" ref="BG14" si="121">(Z14-AVERAGE(Z16:Z17))</f>
        <v>22.798264</v>
      </c>
      <c r="BH14" s="201">
        <f t="shared" ref="BH14" si="122">(AA14-AVERAGE(AA16:AA17))</f>
        <v>376.01475149999999</v>
      </c>
      <c r="BI14" s="201">
        <f t="shared" ref="BI14" si="123">(AB14-AVERAGE(AB16:AB17))</f>
        <v>2.3457000000000061E-2</v>
      </c>
      <c r="BJ14" s="201">
        <f t="shared" ref="BJ14" si="124">(AC14-AVERAGE(AC16:AC17))</f>
        <v>37.887115999999999</v>
      </c>
      <c r="BK14" s="201">
        <f t="shared" ref="BK14" si="125">(AD14-AVERAGE(AD16:AD17))</f>
        <v>6.4257000000000009E-2</v>
      </c>
      <c r="BL14" s="201">
        <f t="shared" ref="BL14" si="126">(AE14-AVERAGE(AE16:AE17))</f>
        <v>1.1224905000000001</v>
      </c>
      <c r="BM14" s="201">
        <f t="shared" ref="BM14" si="127">(AF14-AVERAGE(AF16:AF17))</f>
        <v>0.22844050000000002</v>
      </c>
      <c r="BN14" s="201">
        <f t="shared" ref="BN14" si="128">(AG14-AVERAGE(AG16:AG17))</f>
        <v>0.13332650000000001</v>
      </c>
      <c r="BO14" s="201">
        <f t="shared" ref="BO14" si="129">(AH14-AVERAGE(AH16:AH17))</f>
        <v>8.6980000000000009E-3</v>
      </c>
      <c r="BP14" s="201">
        <f t="shared" ref="BP14" si="130">(AI14-AVERAGE(AI16:AI17))</f>
        <v>0.70635499999999996</v>
      </c>
      <c r="BQ14" s="201">
        <f t="shared" ref="BQ14" si="131">(AJ14-AVERAGE(AJ16:AJ17))</f>
        <v>7.4384999999999972E-3</v>
      </c>
      <c r="BR14" s="201"/>
      <c r="BS14" s="201">
        <f>(AL14*15/1000/$D$14)*1000</f>
        <v>1.3174329501915711</v>
      </c>
      <c r="BT14" s="201">
        <f t="shared" ref="BT14:CA14" si="132">(AM14*15/1000/$D$14)*1000</f>
        <v>2217.5147988505746</v>
      </c>
      <c r="BU14" s="201">
        <f t="shared" si="132"/>
        <v>673.48266283524902</v>
      </c>
      <c r="BV14" s="201">
        <f t="shared" si="132"/>
        <v>12636.683668582376</v>
      </c>
      <c r="BW14" s="201">
        <f t="shared" si="132"/>
        <v>8380.2755747126448</v>
      </c>
      <c r="BX14" s="201" t="e">
        <f t="shared" si="132"/>
        <v>#DIV/0!</v>
      </c>
      <c r="BY14" s="201">
        <f t="shared" si="132"/>
        <v>12498.543438697319</v>
      </c>
      <c r="BZ14" s="201">
        <f t="shared" si="132"/>
        <v>115.47988505747125</v>
      </c>
      <c r="CA14" s="201">
        <f t="shared" si="132"/>
        <v>-5.795019157088124E-3</v>
      </c>
      <c r="CB14" s="201">
        <f>(AU14*15/1000/$D$14)</f>
        <v>2.0136542145593874E-2</v>
      </c>
      <c r="CC14" s="201">
        <f t="shared" ref="CC14:CX14" si="133">(AV14*15/1000/$D$14)</f>
        <v>-7.3841954022988519E-3</v>
      </c>
      <c r="CD14" s="201">
        <f t="shared" si="133"/>
        <v>-7.4299329501915978E-2</v>
      </c>
      <c r="CE14" s="201">
        <f t="shared" si="133"/>
        <v>1.0387116858237549E-2</v>
      </c>
      <c r="CF14" s="201">
        <f t="shared" si="133"/>
        <v>3.1121168582375479E-2</v>
      </c>
      <c r="CG14" s="201">
        <f t="shared" si="133"/>
        <v>11.101653208812261</v>
      </c>
      <c r="CH14" s="201">
        <f t="shared" si="133"/>
        <v>207.02771403256708</v>
      </c>
      <c r="CI14" s="201">
        <f t="shared" si="133"/>
        <v>0.31900043103448278</v>
      </c>
      <c r="CJ14" s="201">
        <f t="shared" si="133"/>
        <v>1.793400383141764E-2</v>
      </c>
      <c r="CK14" s="201">
        <f t="shared" si="133"/>
        <v>292.2535986590039</v>
      </c>
      <c r="CL14" s="201">
        <f t="shared" si="133"/>
        <v>194.22310871647514</v>
      </c>
      <c r="CM14" s="201">
        <f t="shared" si="133"/>
        <v>2.095057471264368E-2</v>
      </c>
      <c r="CN14" s="201">
        <f t="shared" si="133"/>
        <v>2.1837417624521072</v>
      </c>
      <c r="CO14" s="201">
        <f t="shared" si="133"/>
        <v>36.016738649425285</v>
      </c>
      <c r="CP14" s="201">
        <f t="shared" si="133"/>
        <v>2.246839080459776E-3</v>
      </c>
      <c r="CQ14" s="201">
        <f t="shared" si="133"/>
        <v>3.6290340996168586</v>
      </c>
      <c r="CR14" s="201">
        <f t="shared" si="133"/>
        <v>6.1548850574712653E-3</v>
      </c>
      <c r="CS14" s="201">
        <f t="shared" si="133"/>
        <v>0.10751824712643679</v>
      </c>
      <c r="CT14" s="201">
        <f t="shared" si="133"/>
        <v>2.1881273946360157E-2</v>
      </c>
      <c r="CU14" s="201">
        <f t="shared" si="133"/>
        <v>1.2770737547892723E-2</v>
      </c>
      <c r="CV14" s="201">
        <f t="shared" si="133"/>
        <v>8.3314176245210723E-4</v>
      </c>
      <c r="CW14" s="201">
        <f t="shared" si="133"/>
        <v>6.7658524904214562E-2</v>
      </c>
      <c r="CX14" s="201">
        <f t="shared" si="133"/>
        <v>7.1249999999999981E-4</v>
      </c>
      <c r="CY14" s="201"/>
      <c r="CZ14" s="230">
        <f>AVERAGE(E14:E15)</f>
        <v>6.1655E-3</v>
      </c>
      <c r="DA14" s="230">
        <f t="shared" ref="DA14" si="134">AVERAGE(F14:F15)</f>
        <v>23.900289999999998</v>
      </c>
      <c r="DB14" s="230">
        <f t="shared" ref="DB14" si="135">AVERAGE(G14:G15)</f>
        <v>7.2537504999999998</v>
      </c>
      <c r="DC14" s="203">
        <f t="shared" ref="DC14" si="136">AVERAGE(H14:H15)</f>
        <v>134.83085</v>
      </c>
      <c r="DD14" s="203">
        <f t="shared" ref="DD14" si="137">AVERAGE(I14:I15)</f>
        <v>92.181044999999997</v>
      </c>
      <c r="DE14" s="203" t="e">
        <f t="shared" ref="DE14" si="138">AVERAGE(J14:J15)</f>
        <v>#DIV/0!</v>
      </c>
      <c r="DF14" s="203">
        <f t="shared" ref="DF14" si="139">AVERAGE(K14:K15)</f>
        <v>130.97284999999999</v>
      </c>
      <c r="DG14" s="203">
        <f t="shared" ref="DG14" si="140">AVERAGE(L14:L15)</f>
        <v>2.1886359999999998</v>
      </c>
      <c r="DH14" s="203">
        <f t="shared" ref="DH14" si="141">AVERAGE(M14:M15)</f>
        <v>2.0344999999999999E-3</v>
      </c>
      <c r="DI14" s="203">
        <f t="shared" ref="DI14" si="142">AVERAGE(N14:N15)</f>
        <v>0.52568300000000001</v>
      </c>
      <c r="DJ14" s="203">
        <f t="shared" ref="DJ14" si="143">AVERAGE(O14:O15)</f>
        <v>9.8128000000000007E-2</v>
      </c>
      <c r="DK14" s="203">
        <f t="shared" ref="DK14" si="144">AVERAGE(P14:P15)</f>
        <v>49.264949999999999</v>
      </c>
      <c r="DL14" s="203">
        <f t="shared" ref="DL14" si="145">AVERAGE(Q14:Q15)</f>
        <v>0.116233</v>
      </c>
      <c r="DM14" s="203">
        <f t="shared" ref="DM14" si="146">AVERAGE(R14:R15)</f>
        <v>1.3753655</v>
      </c>
      <c r="DN14" s="203">
        <f t="shared" ref="DN14" si="147">AVERAGE(S14:S15)</f>
        <v>118.55725</v>
      </c>
      <c r="DO14" s="203">
        <f t="shared" ref="DO14" si="148">AVERAGE(T14:T15)</f>
        <v>2219.4054999999998</v>
      </c>
      <c r="DP14" s="203">
        <f t="shared" ref="DP14" si="149">AVERAGE(U14:U15)</f>
        <v>3.4561055000000001</v>
      </c>
      <c r="DQ14" s="203">
        <f t="shared" ref="DQ14" si="150">AVERAGE(V14:V15)</f>
        <v>1.6774084999999999</v>
      </c>
      <c r="DR14" s="203">
        <f t="shared" ref="DR14" si="151">AVERAGE(W14:W15)</f>
        <v>3144.3739999999998</v>
      </c>
      <c r="DS14" s="203">
        <f t="shared" ref="DS14" si="152">AVERAGE(X14:X15)</f>
        <v>2105.4350000000004</v>
      </c>
      <c r="DT14" s="203">
        <f t="shared" ref="DT14" si="153">AVERAGE(Y14:Y15)</f>
        <v>0.2290625</v>
      </c>
      <c r="DU14" s="203">
        <f t="shared" ref="DU14" si="154">AVERAGE(Z14:Z15)</f>
        <v>23.352734999999999</v>
      </c>
      <c r="DV14" s="203">
        <f t="shared" ref="DV14" si="155">AVERAGE(AA14:AA15)</f>
        <v>383.52584999999999</v>
      </c>
      <c r="DW14" s="203">
        <f t="shared" ref="DW14" si="156">AVERAGE(AB14:AB15)</f>
        <v>1.831539</v>
      </c>
      <c r="DX14" s="203">
        <f t="shared" ref="DX14" si="157">AVERAGE(AC14:AC15)</f>
        <v>38.865719999999996</v>
      </c>
      <c r="DY14" s="203">
        <f t="shared" ref="DY14" si="158">AVERAGE(AD14:AD15)</f>
        <v>8.5461499999999996E-2</v>
      </c>
      <c r="DZ14" s="203">
        <f t="shared" ref="DZ14" si="159">AVERAGE(AE14:AE15)</f>
        <v>1.147626</v>
      </c>
      <c r="EA14" s="203">
        <f t="shared" ref="EA14" si="160">AVERAGE(AF14:AF15)</f>
        <v>0.24664249999999999</v>
      </c>
      <c r="EB14" s="203">
        <f t="shared" ref="EB14" si="161">AVERAGE(AG14:AG15)</f>
        <v>0.94434600000000002</v>
      </c>
      <c r="EC14" s="203">
        <f t="shared" ref="EC14" si="162">AVERAGE(AH14:AH15)</f>
        <v>1.03765E-2</v>
      </c>
      <c r="ED14" s="203">
        <f t="shared" ref="ED14" si="163">AVERAGE(AI14:AI15)</f>
        <v>0.87340449999999992</v>
      </c>
      <c r="EE14" s="203">
        <f>AVERAGE(AJ14:AJ15)</f>
        <v>2.1825499999999998E-2</v>
      </c>
    </row>
    <row r="15" spans="1:168">
      <c r="A15" s="204">
        <v>44718</v>
      </c>
      <c r="B15" s="201" t="s">
        <v>956</v>
      </c>
      <c r="C15" s="201" t="s">
        <v>968</v>
      </c>
      <c r="D15" s="201">
        <v>0.16880000000000001</v>
      </c>
      <c r="E15" s="201">
        <v>-9.7999999999999997E-4</v>
      </c>
      <c r="F15" s="201">
        <v>24.348400000000002</v>
      </c>
      <c r="G15" s="201">
        <v>7.385624</v>
      </c>
      <c r="H15" s="201">
        <v>137.15010000000001</v>
      </c>
      <c r="I15" s="201">
        <v>92.664079999999998</v>
      </c>
      <c r="J15" s="201"/>
      <c r="K15" s="201">
        <v>131.2929</v>
      </c>
      <c r="L15" s="201">
        <v>2.1950940000000001</v>
      </c>
      <c r="M15" s="201">
        <v>2.166E-3</v>
      </c>
      <c r="N15" s="201">
        <v>0.58756399999999998</v>
      </c>
      <c r="O15" s="201">
        <v>0.19625600000000001</v>
      </c>
      <c r="P15" s="201">
        <v>47.838380000000001</v>
      </c>
      <c r="Q15" s="201">
        <v>0.114163</v>
      </c>
      <c r="R15" s="201">
        <v>1.3195669999999999</v>
      </c>
      <c r="S15" s="201">
        <v>120.6425</v>
      </c>
      <c r="T15" s="201">
        <v>2270.819</v>
      </c>
      <c r="U15" s="201">
        <v>3.5403950000000002</v>
      </c>
      <c r="V15" s="201">
        <v>1.7019979999999999</v>
      </c>
      <c r="W15" s="201">
        <v>3224.491</v>
      </c>
      <c r="X15" s="201">
        <v>2150.7800000000002</v>
      </c>
      <c r="Y15" s="201">
        <v>0.227024</v>
      </c>
      <c r="Z15" s="201">
        <v>23.886869999999998</v>
      </c>
      <c r="AA15" s="201">
        <v>390.93680000000001</v>
      </c>
      <c r="AB15" s="201">
        <v>1.813021</v>
      </c>
      <c r="AC15" s="201">
        <v>39.50714</v>
      </c>
      <c r="AD15" s="201">
        <v>7.9984E-2</v>
      </c>
      <c r="AE15" s="201">
        <v>1.171891</v>
      </c>
      <c r="AF15" s="201">
        <v>0.260764</v>
      </c>
      <c r="AG15" s="201">
        <v>0.94999400000000001</v>
      </c>
      <c r="AH15" s="201">
        <v>1.1004E-2</v>
      </c>
      <c r="AI15" s="201">
        <v>0.83138999999999996</v>
      </c>
      <c r="AJ15" s="201">
        <v>2.2241E-2</v>
      </c>
      <c r="AK15" s="201"/>
      <c r="AL15" s="201">
        <f>(E15-AVERAGE(E16:E17))</f>
        <v>-5.3699999999999993E-4</v>
      </c>
      <c r="AM15" s="201">
        <f t="shared" ref="AM15" si="164">(F15-AVERAGE(F16:F17))</f>
        <v>24.047074500000001</v>
      </c>
      <c r="AN15" s="201">
        <f t="shared" ref="AN15" si="165">(G15-AVERAGE(G16:G17))</f>
        <v>7.2949060000000001</v>
      </c>
      <c r="AO15" s="201">
        <f t="shared" ref="AO15" si="166">(H15-AVERAGE(H16:H17))</f>
        <v>136.56547750000001</v>
      </c>
      <c r="AP15" s="201">
        <f t="shared" ref="AP15" si="167">(I15-AVERAGE(I16:I17))</f>
        <v>88.456147000000001</v>
      </c>
      <c r="AQ15" s="201" t="e">
        <f t="shared" ref="AQ15" si="168">(J15-AVERAGE(J16:J17))</f>
        <v>#DIV/0!</v>
      </c>
      <c r="AR15" s="201">
        <f t="shared" ref="AR15" si="169">(K15-AVERAGE(K16:K17))</f>
        <v>131.12489350000001</v>
      </c>
      <c r="AS15" s="201">
        <f t="shared" ref="AS15" si="170">(L15-AVERAGE(L16:L17))</f>
        <v>1.218526</v>
      </c>
      <c r="AT15" s="201">
        <f t="shared" ref="AT15" si="171">(M15-AVERAGE(M16:M17))</f>
        <v>2.0249999999999999E-4</v>
      </c>
      <c r="AU15" s="201">
        <f t="shared" ref="AU15" si="172">(N15-AVERAGE(N16:N17))</f>
        <v>0.33398749999999999</v>
      </c>
      <c r="AV15" s="201">
        <f t="shared" ref="AV15" si="173">(O15-AVERAGE(O16:O17))</f>
        <v>0.11916500000000001</v>
      </c>
      <c r="AW15" s="201">
        <f>(P15-AVERAGE(P16:P17))</f>
        <v>-3.6288249999999991</v>
      </c>
      <c r="AX15" s="201">
        <f t="shared" ref="AX15" si="174">(Q15-AVERAGE(Q16:Q17))</f>
        <v>0.10430150000000001</v>
      </c>
      <c r="AY15" s="201">
        <f t="shared" ref="AY15" si="175">(R15-AVERAGE(R16:R17))</f>
        <v>0.21330799999999983</v>
      </c>
      <c r="AZ15" s="201">
        <f t="shared" ref="AZ15" si="176">(S15-AVERAGE(S16:S17))</f>
        <v>120.0717595</v>
      </c>
      <c r="BA15" s="201">
        <f t="shared" ref="BA15" si="177">(T15-AVERAGE(T16:T17))</f>
        <v>2264.1963344999999</v>
      </c>
      <c r="BB15" s="201">
        <f t="shared" ref="BB15" si="178">(U15-AVERAGE(U16:U17))</f>
        <v>3.4989435000000002</v>
      </c>
      <c r="BC15" s="201">
        <f t="shared" ref="BC15" si="179">(V15-AVERAGE(V16:V17))</f>
        <v>0.23641000000000001</v>
      </c>
      <c r="BD15" s="201">
        <f t="shared" ref="BD15" si="180">(W15-AVERAGE(W16:W17))</f>
        <v>3211.36157</v>
      </c>
      <c r="BE15" s="201">
        <f t="shared" ref="BE15" si="181">(X15-AVERAGE(X16:X17))</f>
        <v>2118.3792550000003</v>
      </c>
      <c r="BF15" s="201">
        <f t="shared" ref="BF15" si="182">(Y15-AVERAGE(Y16:Y17))</f>
        <v>0.214647</v>
      </c>
      <c r="BG15" s="201">
        <f t="shared" ref="BG15" si="183">(Z15-AVERAGE(Z16:Z17))</f>
        <v>23.866533999999998</v>
      </c>
      <c r="BH15" s="201">
        <f t="shared" ref="BH15" si="184">(AA15-AVERAGE(AA16:AA17))</f>
        <v>390.83665150000002</v>
      </c>
      <c r="BI15" s="201">
        <f t="shared" ref="BI15" si="185">(AB15-AVERAGE(AB16:AB17))</f>
        <v>-1.3579000000000008E-2</v>
      </c>
      <c r="BJ15" s="201">
        <f t="shared" ref="BJ15" si="186">(AC15-AVERAGE(AC16:AC17))</f>
        <v>39.169955999999999</v>
      </c>
      <c r="BK15" s="201">
        <f t="shared" ref="BK15" si="187">(AD15-AVERAGE(AD16:AD17))</f>
        <v>5.3302000000000002E-2</v>
      </c>
      <c r="BL15" s="201">
        <f t="shared" ref="BL15" si="188">(AE15-AVERAGE(AE16:AE17))</f>
        <v>1.1710205</v>
      </c>
      <c r="BM15" s="201">
        <f t="shared" ref="BM15" si="189">(AF15-AVERAGE(AF16:AF17))</f>
        <v>0.25668350000000001</v>
      </c>
      <c r="BN15" s="201">
        <f t="shared" ref="BN15" si="190">(AG15-AVERAGE(AG16:AG17))</f>
        <v>0.14462249999999999</v>
      </c>
      <c r="BO15" s="201">
        <f t="shared" ref="BO15" si="191">(AH15-AVERAGE(AH16:AH17))</f>
        <v>9.953E-3</v>
      </c>
      <c r="BP15" s="201">
        <f t="shared" ref="BP15" si="192">(AI15-AVERAGE(AI16:AI17))</f>
        <v>0.62232599999999993</v>
      </c>
      <c r="BQ15" s="201">
        <f t="shared" ref="BQ15" si="193">(AJ15-AVERAGE(AJ16:AJ17))</f>
        <v>8.2694999999999991E-3</v>
      </c>
      <c r="BR15" s="201"/>
      <c r="BS15" s="201">
        <f>(AL15*15/1000/$D$15)*1000</f>
        <v>-4.7719194312796212E-2</v>
      </c>
      <c r="BT15" s="201">
        <f t="shared" ref="BT15:CA15" si="194">(AM15*15/1000/$D$15)*1000</f>
        <v>2136.884582345971</v>
      </c>
      <c r="BU15" s="201">
        <f t="shared" si="194"/>
        <v>648.24401658767772</v>
      </c>
      <c r="BV15" s="201">
        <f t="shared" si="194"/>
        <v>12135.557834715642</v>
      </c>
      <c r="BW15" s="201">
        <f t="shared" si="194"/>
        <v>7860.4396030805683</v>
      </c>
      <c r="BX15" s="201" t="e">
        <f t="shared" si="194"/>
        <v>#DIV/0!</v>
      </c>
      <c r="BY15" s="201">
        <f t="shared" si="194"/>
        <v>11652.093616706161</v>
      </c>
      <c r="BZ15" s="201">
        <f t="shared" si="194"/>
        <v>108.28133886255922</v>
      </c>
      <c r="CA15" s="201">
        <f t="shared" si="194"/>
        <v>1.7994668246445494E-2</v>
      </c>
      <c r="CB15" s="201">
        <f>(AU15*15/1000/$D$15)</f>
        <v>2.9678984004739332E-2</v>
      </c>
      <c r="CC15" s="201">
        <f t="shared" ref="CC15:CX15" si="195">(AV15*15/1000/$D$15)</f>
        <v>1.0589306872037916E-2</v>
      </c>
      <c r="CD15" s="201">
        <f t="shared" si="195"/>
        <v>-0.32246667654028427</v>
      </c>
      <c r="CE15" s="201">
        <f t="shared" si="195"/>
        <v>9.2684982227488142E-3</v>
      </c>
      <c r="CF15" s="201">
        <f t="shared" si="195"/>
        <v>1.8955094786729843E-2</v>
      </c>
      <c r="CG15" s="201">
        <f t="shared" si="195"/>
        <v>10.669883841824644</v>
      </c>
      <c r="CH15" s="201">
        <f t="shared" si="195"/>
        <v>201.20228090936021</v>
      </c>
      <c r="CI15" s="201">
        <f t="shared" si="195"/>
        <v>0.31092507405213271</v>
      </c>
      <c r="CJ15" s="201">
        <f t="shared" si="195"/>
        <v>2.1007997630331753E-2</v>
      </c>
      <c r="CK15" s="201">
        <f t="shared" si="195"/>
        <v>285.36980776066349</v>
      </c>
      <c r="CL15" s="201">
        <f t="shared" si="195"/>
        <v>188.24460204383888</v>
      </c>
      <c r="CM15" s="201">
        <f t="shared" si="195"/>
        <v>1.9074081753554503E-2</v>
      </c>
      <c r="CN15" s="201">
        <f t="shared" si="195"/>
        <v>2.1208412914691941</v>
      </c>
      <c r="CO15" s="201">
        <f t="shared" si="195"/>
        <v>34.730745097748816</v>
      </c>
      <c r="CP15" s="201">
        <f t="shared" si="195"/>
        <v>-1.2066646919431285E-3</v>
      </c>
      <c r="CQ15" s="201">
        <f t="shared" si="195"/>
        <v>3.4807425355450237</v>
      </c>
      <c r="CR15" s="201">
        <f t="shared" si="195"/>
        <v>4.7365521327014225E-3</v>
      </c>
      <c r="CS15" s="201">
        <f t="shared" si="195"/>
        <v>0.10405987855450236</v>
      </c>
      <c r="CT15" s="201">
        <f t="shared" si="195"/>
        <v>2.2809552725118486E-2</v>
      </c>
      <c r="CU15" s="201">
        <f t="shared" si="195"/>
        <v>1.2851525473933647E-2</v>
      </c>
      <c r="CV15" s="201">
        <f t="shared" si="195"/>
        <v>8.8444905213270141E-4</v>
      </c>
      <c r="CW15" s="201">
        <f t="shared" si="195"/>
        <v>5.5301481042654026E-2</v>
      </c>
      <c r="CX15" s="201">
        <f t="shared" si="195"/>
        <v>7.3484893364928903E-4</v>
      </c>
      <c r="CY15" s="201"/>
    </row>
    <row r="16" spans="1:168">
      <c r="A16" s="204"/>
      <c r="B16" s="201" t="s">
        <v>958</v>
      </c>
      <c r="C16" s="201" t="s">
        <v>969</v>
      </c>
      <c r="D16" s="201">
        <v>0</v>
      </c>
      <c r="E16" s="201">
        <v>2.954E-3</v>
      </c>
      <c r="F16" s="201">
        <v>0.249474</v>
      </c>
      <c r="G16" s="201">
        <v>7.3995000000000005E-2</v>
      </c>
      <c r="H16" s="201">
        <v>0.59178900000000001</v>
      </c>
      <c r="I16" s="201">
        <v>3.7772399999999999</v>
      </c>
      <c r="K16" s="201">
        <v>0.15796399999999999</v>
      </c>
      <c r="L16" s="201">
        <v>1.0385390000000001</v>
      </c>
      <c r="M16" s="201">
        <v>2.6259999999999999E-3</v>
      </c>
      <c r="N16" s="201">
        <v>0.25228800000000001</v>
      </c>
      <c r="O16" s="201">
        <v>0.15418200000000001</v>
      </c>
      <c r="P16" s="201">
        <v>53.694629999999997</v>
      </c>
      <c r="Q16" s="201">
        <v>3.6319999999999998E-3</v>
      </c>
      <c r="R16" s="201">
        <v>1.102271</v>
      </c>
      <c r="S16" s="201">
        <v>0.62869600000000003</v>
      </c>
      <c r="T16" s="201">
        <v>6.6646179999999999</v>
      </c>
      <c r="U16" s="201">
        <v>3.2870999999999997E-2</v>
      </c>
      <c r="V16" s="201">
        <v>1.155616</v>
      </c>
      <c r="W16" s="201">
        <v>15.84327</v>
      </c>
      <c r="X16" s="201">
        <v>27.81954</v>
      </c>
      <c r="Y16" s="201">
        <v>2.1267999999999999E-2</v>
      </c>
      <c r="Z16" s="201">
        <v>2.9034999999999998E-2</v>
      </c>
      <c r="AA16" s="201">
        <v>0.12189800000000001</v>
      </c>
      <c r="AB16" s="201">
        <v>1.5760069999999999</v>
      </c>
      <c r="AC16" s="201">
        <v>0.32811699999999999</v>
      </c>
      <c r="AD16" s="201">
        <v>2.1520000000000001E-2</v>
      </c>
      <c r="AE16" s="201">
        <v>-2.2000000000000001E-4</v>
      </c>
      <c r="AF16" s="201">
        <v>3.5850000000000001E-3</v>
      </c>
      <c r="AG16" s="201">
        <v>0.67668700000000004</v>
      </c>
      <c r="AH16" s="201">
        <v>8.3299999999999997E-4</v>
      </c>
      <c r="AI16" s="201">
        <v>0.183031</v>
      </c>
      <c r="AJ16" s="201">
        <v>1.7142000000000001E-2</v>
      </c>
      <c r="AK16" s="201"/>
      <c r="AL16" s="201"/>
      <c r="AM16" s="201"/>
      <c r="AN16" s="201"/>
      <c r="AO16" s="201"/>
      <c r="AP16" s="201"/>
      <c r="AQ16" s="201"/>
      <c r="AR16" s="201"/>
      <c r="AS16" s="201"/>
      <c r="AT16" s="201"/>
      <c r="AU16" s="201"/>
      <c r="AV16" s="201"/>
      <c r="AW16" s="201"/>
      <c r="AX16" s="201"/>
      <c r="AY16" s="201"/>
      <c r="AZ16" s="201"/>
      <c r="BA16" s="201"/>
      <c r="BB16" s="201"/>
      <c r="BC16" s="201"/>
      <c r="BD16" s="201"/>
      <c r="BE16" s="201"/>
      <c r="BF16" s="201"/>
      <c r="BG16" s="201"/>
      <c r="BH16" s="201"/>
      <c r="BI16" s="201"/>
      <c r="BJ16" s="201"/>
      <c r="BK16" s="201"/>
      <c r="BL16" s="201"/>
      <c r="BM16" s="201"/>
      <c r="BN16" s="201"/>
      <c r="BO16" s="201"/>
      <c r="BP16" s="201"/>
      <c r="BQ16" s="201"/>
      <c r="BR16" s="201"/>
      <c r="BS16" s="201"/>
      <c r="BT16" s="201"/>
      <c r="BU16" s="201"/>
      <c r="BV16" s="201"/>
      <c r="BW16" s="201"/>
      <c r="BX16" s="201"/>
      <c r="BY16" s="201"/>
      <c r="BZ16" s="201"/>
      <c r="CA16" s="201"/>
      <c r="CB16" s="201"/>
      <c r="CC16" s="201"/>
      <c r="CD16" s="201"/>
      <c r="CE16" s="201"/>
      <c r="CF16" s="201"/>
      <c r="CG16" s="201"/>
      <c r="CH16" s="201"/>
      <c r="CI16" s="201"/>
      <c r="CJ16" s="201"/>
      <c r="CK16" s="201"/>
      <c r="CL16" s="201"/>
      <c r="CM16" s="201"/>
      <c r="CN16" s="201"/>
      <c r="CO16" s="201"/>
      <c r="CP16" s="201"/>
      <c r="CQ16" s="201"/>
      <c r="CR16" s="201"/>
      <c r="CS16" s="201"/>
      <c r="CT16" s="201"/>
      <c r="CU16" s="201"/>
      <c r="CV16" s="201"/>
      <c r="CW16" s="201"/>
      <c r="CX16" s="201"/>
      <c r="CY16" s="201"/>
      <c r="CZ16" s="221" t="s">
        <v>959</v>
      </c>
    </row>
    <row r="17" spans="1:135">
      <c r="A17" s="204"/>
      <c r="B17" s="201" t="s">
        <v>960</v>
      </c>
      <c r="C17" s="201" t="s">
        <v>970</v>
      </c>
      <c r="D17" s="201">
        <v>0</v>
      </c>
      <c r="E17" s="201">
        <v>-3.8400000000000001E-3</v>
      </c>
      <c r="F17" s="201">
        <v>0.35317700000000002</v>
      </c>
      <c r="G17" s="201">
        <v>0.10744099999999999</v>
      </c>
      <c r="H17" s="201">
        <v>0.57745599999999997</v>
      </c>
      <c r="I17" s="201">
        <v>4.6386260000000004</v>
      </c>
      <c r="K17" s="201">
        <v>0.17804900000000001</v>
      </c>
      <c r="L17" s="201">
        <v>0.91459699999999999</v>
      </c>
      <c r="M17" s="201">
        <v>1.3010000000000001E-3</v>
      </c>
      <c r="N17" s="201">
        <v>0.25486500000000001</v>
      </c>
      <c r="O17" s="201">
        <v>0</v>
      </c>
      <c r="P17" s="201">
        <v>49.239780000000003</v>
      </c>
      <c r="Q17" s="201">
        <v>1.6091000000000001E-2</v>
      </c>
      <c r="R17" s="201">
        <v>1.110247</v>
      </c>
      <c r="S17" s="201">
        <v>0.51278500000000005</v>
      </c>
      <c r="T17" s="201">
        <v>6.5807130000000003</v>
      </c>
      <c r="U17" s="201">
        <v>5.0032E-2</v>
      </c>
      <c r="V17" s="201">
        <v>1.77556</v>
      </c>
      <c r="W17" s="201">
        <v>10.41559</v>
      </c>
      <c r="X17" s="201">
        <v>36.981949999999998</v>
      </c>
      <c r="Y17" s="201">
        <v>3.4859999999999999E-3</v>
      </c>
      <c r="Z17" s="201">
        <v>1.1637E-2</v>
      </c>
      <c r="AA17" s="201">
        <v>7.8398999999999996E-2</v>
      </c>
      <c r="AB17" s="201">
        <v>2.0771929999999998</v>
      </c>
      <c r="AC17" s="201">
        <v>0.34625099999999998</v>
      </c>
      <c r="AD17" s="201">
        <v>3.1843999999999997E-2</v>
      </c>
      <c r="AE17" s="201">
        <v>1.9610000000000001E-3</v>
      </c>
      <c r="AF17" s="201">
        <v>4.5760000000000002E-3</v>
      </c>
      <c r="AG17" s="201">
        <v>0.934056</v>
      </c>
      <c r="AH17" s="201">
        <v>1.2689999999999999E-3</v>
      </c>
      <c r="AI17" s="201">
        <v>0.235097</v>
      </c>
      <c r="AJ17" s="201">
        <v>1.0801E-2</v>
      </c>
      <c r="AK17" s="201"/>
      <c r="AL17" s="201"/>
      <c r="AM17" s="201"/>
      <c r="AN17" s="201"/>
      <c r="AO17" s="201"/>
      <c r="AP17" s="201"/>
      <c r="AQ17" s="201"/>
      <c r="AR17" s="201"/>
      <c r="AS17" s="201"/>
      <c r="AT17" s="201"/>
      <c r="AU17" s="201"/>
      <c r="AV17" s="201"/>
      <c r="AW17" s="201"/>
      <c r="AX17" s="201"/>
      <c r="AY17" s="201"/>
      <c r="AZ17" s="201"/>
      <c r="BA17" s="201"/>
      <c r="BB17" s="201"/>
      <c r="BC17" s="201"/>
      <c r="BD17" s="201"/>
      <c r="BE17" s="201"/>
      <c r="BF17" s="201"/>
      <c r="BG17" s="201"/>
      <c r="BH17" s="201"/>
      <c r="BI17" s="201"/>
      <c r="BJ17" s="201"/>
      <c r="BK17" s="201"/>
      <c r="BL17" s="201"/>
      <c r="BM17" s="201"/>
      <c r="BN17" s="201"/>
      <c r="BO17" s="201"/>
      <c r="BP17" s="201"/>
      <c r="BQ17" s="201"/>
      <c r="BR17" s="201"/>
      <c r="BS17" s="201"/>
      <c r="BT17" s="201"/>
      <c r="BU17" s="201"/>
      <c r="BV17" s="201"/>
      <c r="BW17" s="201"/>
      <c r="BX17" s="201"/>
      <c r="BY17" s="201"/>
      <c r="BZ17" s="201"/>
      <c r="CA17" s="201"/>
      <c r="CB17" s="201"/>
      <c r="CC17" s="201"/>
      <c r="CD17" s="201"/>
      <c r="CE17" s="201"/>
      <c r="CF17" s="201"/>
      <c r="CG17" s="201"/>
      <c r="CH17" s="201"/>
      <c r="CI17" s="201"/>
      <c r="CJ17" s="201"/>
      <c r="CK17" s="201"/>
      <c r="CL17" s="201"/>
      <c r="CM17" s="201"/>
      <c r="CN17" s="201"/>
      <c r="CO17" s="201"/>
      <c r="CP17" s="201"/>
      <c r="CQ17" s="201"/>
      <c r="CR17" s="201"/>
      <c r="CS17" s="201"/>
      <c r="CT17" s="201"/>
      <c r="CU17" s="201"/>
      <c r="CV17" s="201"/>
      <c r="CW17" s="201"/>
      <c r="CX17" s="201"/>
      <c r="CY17" s="201"/>
      <c r="CZ17" s="222">
        <v>1</v>
      </c>
      <c r="DA17" s="229">
        <f>DA14/$B$27</f>
        <v>1.1756168224299065E-2</v>
      </c>
      <c r="DB17" s="203">
        <f>DB14/$B$28</f>
        <v>1.1699597580645161E-2</v>
      </c>
      <c r="DC17" s="203">
        <f>DC14/$B$29</f>
        <v>1.1474965957446808E-2</v>
      </c>
      <c r="DD17" s="203">
        <f>DD14/$B$30</f>
        <v>1.2307215620827769E-2</v>
      </c>
      <c r="DE17" s="203" t="e">
        <f>DE14/$B$31</f>
        <v>#DIV/0!</v>
      </c>
      <c r="DF17" s="203">
        <f>DF14/$B$32</f>
        <v>1.2802820136852393E-2</v>
      </c>
      <c r="DG17" s="203">
        <f>DG14/$B$33</f>
        <v>1.6707145038167937E-2</v>
      </c>
      <c r="DH17" s="222">
        <v>1</v>
      </c>
      <c r="DI17" s="222">
        <v>1</v>
      </c>
      <c r="DJ17" s="222">
        <v>1</v>
      </c>
      <c r="DK17" s="222">
        <v>1</v>
      </c>
      <c r="DL17" s="203">
        <f>DL14/$B$38</f>
        <v>14.529125000000001</v>
      </c>
      <c r="DM17" s="203">
        <f>DM14/$B$39</f>
        <v>25.95029245283019</v>
      </c>
      <c r="DN17" s="203">
        <f>DN14/$B$40</f>
        <v>11.334345124282981</v>
      </c>
      <c r="DO17" s="203">
        <f>DO14/$B$41</f>
        <v>11.212516419116904</v>
      </c>
      <c r="DP17" s="203">
        <f>DP14/$B$42</f>
        <v>11.520351666666667</v>
      </c>
      <c r="DQ17" s="203">
        <f>DQ14/$B$43</f>
        <v>3.7694573033707865E-2</v>
      </c>
      <c r="DR17" s="203">
        <f>DR14/$B$44</f>
        <v>11.425777616279069</v>
      </c>
      <c r="DS17" s="203">
        <f>DS14/$B$45</f>
        <v>11.625814467145226</v>
      </c>
      <c r="DT17" s="203">
        <f>DT14/$B$46</f>
        <v>11.686862244897959</v>
      </c>
      <c r="DU17" s="203">
        <f>DU14/$B$47</f>
        <v>11.498146233382569</v>
      </c>
      <c r="DV17" s="203">
        <f>DV14/$B$48</f>
        <v>10.864754957507083</v>
      </c>
      <c r="DW17" s="203">
        <f>DW14/$B$49</f>
        <v>19.218667366211964</v>
      </c>
      <c r="DX17" s="203">
        <f>DX14/$B$50</f>
        <v>11.777490909090908</v>
      </c>
      <c r="DY17" s="203">
        <f>DY14/$B$51</f>
        <v>14.484999999999999</v>
      </c>
      <c r="DZ17" s="203">
        <f>DZ14/$B$52</f>
        <v>11.83119587628866</v>
      </c>
      <c r="EA17" s="203">
        <f>EA14/$B$53</f>
        <v>11.744880952380951</v>
      </c>
      <c r="EB17" s="222">
        <v>1</v>
      </c>
      <c r="EC17" s="222">
        <v>1</v>
      </c>
      <c r="ED17" s="203">
        <f>ED14/$B$56</f>
        <v>13.907714968152867</v>
      </c>
      <c r="EE17" s="222">
        <v>1</v>
      </c>
    </row>
    <row r="18" spans="1:135" s="217" customFormat="1">
      <c r="A18" s="219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218"/>
      <c r="Z18" s="218"/>
      <c r="AA18" s="218"/>
      <c r="AB18" s="218"/>
      <c r="AC18" s="218"/>
      <c r="AD18" s="218"/>
      <c r="AE18" s="218"/>
      <c r="AF18" s="218"/>
      <c r="AG18" s="218"/>
      <c r="AH18" s="218"/>
      <c r="AI18" s="218"/>
      <c r="AJ18" s="218"/>
      <c r="AK18" s="218"/>
      <c r="AL18" s="218"/>
      <c r="AM18" s="218"/>
      <c r="AN18" s="218"/>
      <c r="AO18" s="218"/>
      <c r="AP18" s="218"/>
      <c r="AQ18" s="218"/>
      <c r="AR18" s="218"/>
      <c r="AS18" s="218"/>
      <c r="AT18" s="218"/>
      <c r="AU18" s="218"/>
      <c r="AV18" s="218"/>
      <c r="AW18" s="218"/>
      <c r="AX18" s="218"/>
      <c r="AY18" s="218"/>
      <c r="AZ18" s="218"/>
      <c r="BA18" s="218"/>
      <c r="BB18" s="218"/>
      <c r="BC18" s="218"/>
      <c r="BD18" s="218"/>
      <c r="BE18" s="218"/>
      <c r="BF18" s="218"/>
      <c r="BG18" s="218"/>
      <c r="BH18" s="218"/>
      <c r="BI18" s="218"/>
      <c r="BJ18" s="218"/>
      <c r="BK18" s="218"/>
      <c r="BL18" s="218"/>
      <c r="BM18" s="218"/>
      <c r="BN18" s="218"/>
      <c r="BO18" s="218"/>
      <c r="BP18" s="218"/>
      <c r="BQ18" s="218"/>
      <c r="BR18" s="218"/>
      <c r="BS18" s="218"/>
      <c r="BT18" s="218"/>
      <c r="BU18" s="218"/>
      <c r="BV18" s="218"/>
      <c r="BW18" s="218"/>
      <c r="BX18" s="218"/>
      <c r="BY18" s="218"/>
      <c r="BZ18" s="218"/>
      <c r="CA18" s="218"/>
      <c r="CB18" s="218"/>
      <c r="CC18" s="218"/>
      <c r="CD18" s="218"/>
      <c r="CE18" s="218"/>
      <c r="CF18" s="218"/>
      <c r="CG18" s="218"/>
      <c r="CH18" s="218"/>
      <c r="CI18" s="218"/>
      <c r="CJ18" s="218"/>
      <c r="CK18" s="218"/>
      <c r="CL18" s="218"/>
      <c r="CM18" s="218"/>
      <c r="CN18" s="218"/>
      <c r="CO18" s="218"/>
      <c r="CP18" s="218"/>
      <c r="CQ18" s="218"/>
      <c r="CR18" s="218"/>
      <c r="CS18" s="218"/>
      <c r="CT18" s="218"/>
      <c r="CU18" s="218"/>
      <c r="CV18" s="218"/>
      <c r="CW18" s="218"/>
      <c r="CX18" s="218"/>
      <c r="CY18" s="218"/>
    </row>
    <row r="19" spans="1:135">
      <c r="A19" s="203" t="s">
        <v>971</v>
      </c>
      <c r="B19" s="201" t="s">
        <v>962</v>
      </c>
      <c r="C19" s="201" t="s">
        <v>972</v>
      </c>
      <c r="D19" s="203">
        <v>0.12479999999999999</v>
      </c>
      <c r="E19" s="201">
        <v>6.4949999999999999E-3</v>
      </c>
      <c r="F19" s="201">
        <v>18.318259999999999</v>
      </c>
      <c r="G19" s="201">
        <v>5.7806579999999999</v>
      </c>
      <c r="H19" s="201">
        <v>111.4426</v>
      </c>
      <c r="I19" s="201">
        <v>75.903080000000003</v>
      </c>
      <c r="J19" s="201">
        <v>23.06035</v>
      </c>
      <c r="K19" s="201">
        <v>98.254750000000001</v>
      </c>
      <c r="L19" s="201">
        <v>1.3162849999999999</v>
      </c>
      <c r="M19" s="201">
        <v>4.568E-3</v>
      </c>
      <c r="N19" s="201">
        <v>9.4724000000000003E-2</v>
      </c>
      <c r="O19" s="201">
        <v>-0.30237000000000003</v>
      </c>
      <c r="P19" s="201">
        <v>34.838349999999998</v>
      </c>
      <c r="Q19" s="201">
        <v>0.10180599999999999</v>
      </c>
      <c r="R19" s="201">
        <v>4.9310780000000003</v>
      </c>
      <c r="S19" s="201">
        <v>90.220299999999995</v>
      </c>
      <c r="T19" s="201">
        <v>1740.7650000000001</v>
      </c>
      <c r="U19" s="201">
        <v>2.7268370000000002</v>
      </c>
      <c r="V19" s="201">
        <v>2.806956</v>
      </c>
      <c r="W19" s="201">
        <v>2454.0819999999999</v>
      </c>
      <c r="X19" s="201">
        <v>1743.183</v>
      </c>
      <c r="Y19" s="201">
        <v>0.22309000000000001</v>
      </c>
      <c r="Z19" s="201">
        <v>20.110759999999999</v>
      </c>
      <c r="AA19" s="201">
        <v>292.17090000000002</v>
      </c>
      <c r="AB19" s="201">
        <v>0.98131699999999999</v>
      </c>
      <c r="AC19" s="201">
        <v>29.893059999999998</v>
      </c>
      <c r="AD19" s="201">
        <v>1.8443999999999999E-2</v>
      </c>
      <c r="AE19" s="201">
        <v>0.81746399999999997</v>
      </c>
      <c r="AF19" s="201">
        <v>0.18301200000000001</v>
      </c>
      <c r="AG19" s="201">
        <v>0.56979199999999997</v>
      </c>
      <c r="AH19" s="201">
        <v>9.5530000000000007E-3</v>
      </c>
      <c r="AI19" s="201">
        <v>0.58194699999999999</v>
      </c>
      <c r="AJ19" s="201">
        <v>7.2230000000000003E-3</v>
      </c>
      <c r="AK19" s="201"/>
      <c r="AL19" s="201">
        <f>(E19-AVERAGE(E21:E22))</f>
        <v>3.1904999999999998E-3</v>
      </c>
      <c r="AM19" s="201">
        <f t="shared" ref="AM19" si="196">(F19-AVERAGE(F21:F22))</f>
        <v>17.860302999999998</v>
      </c>
      <c r="AN19" s="201">
        <f t="shared" ref="AN19" si="197">(G19-AVERAGE(G21:G22))</f>
        <v>5.7576935000000002</v>
      </c>
      <c r="AO19" s="201">
        <f t="shared" ref="AO19" si="198">(H19-AVERAGE(H21:H22))</f>
        <v>111.4395555</v>
      </c>
      <c r="AP19" s="201">
        <f t="shared" ref="AP19" si="199">(I19-AVERAGE(I21:I22))</f>
        <v>73.697798000000006</v>
      </c>
      <c r="AQ19" s="201">
        <f t="shared" ref="AQ19" si="200">(J19-AVERAGE(J21:J22))</f>
        <v>20.747725500000001</v>
      </c>
      <c r="AR19" s="201">
        <f t="shared" ref="AR19" si="201">(K19-AVERAGE(K21:K22))</f>
        <v>98.158367499999997</v>
      </c>
      <c r="AS19" s="201">
        <f t="shared" ref="AS19" si="202">(L19-AVERAGE(L21:L22))</f>
        <v>1.037426</v>
      </c>
      <c r="AT19" s="201">
        <f t="shared" ref="AT19" si="203">(M19-AVERAGE(M21:M22))</f>
        <v>3.7835E-3</v>
      </c>
      <c r="AU19" s="201">
        <f t="shared" ref="AU19" si="204">(N19-AVERAGE(N21:N22))</f>
        <v>4.5057E-2</v>
      </c>
      <c r="AV19" s="201">
        <f t="shared" ref="AV19" si="205">(O19-AVERAGE(O21:O22))</f>
        <v>-0.17603000000000002</v>
      </c>
      <c r="AW19" s="201">
        <f t="shared" ref="AW19" si="206">(P19-AVERAGE(P21:P22))</f>
        <v>18.369934999999998</v>
      </c>
      <c r="AX19" s="201">
        <f t="shared" ref="AX19" si="207">(Q19-AVERAGE(Q21:Q22))</f>
        <v>0.105656</v>
      </c>
      <c r="AY19" s="201">
        <f t="shared" ref="AY19" si="208">(R19-AVERAGE(R21:R22))</f>
        <v>4.7717220000000005</v>
      </c>
      <c r="AZ19" s="201">
        <f t="shared" ref="AZ19" si="209">(S19-AVERAGE(S21:S22))</f>
        <v>89.928238999999991</v>
      </c>
      <c r="BA19" s="201">
        <f t="shared" ref="BA19" si="210">(T19-AVERAGE(T21:T22))</f>
        <v>1735.933767</v>
      </c>
      <c r="BB19" s="201">
        <f t="shared" ref="BB19" si="211">(U19-AVERAGE(U21:U22))</f>
        <v>2.719865</v>
      </c>
      <c r="BC19" s="201">
        <f t="shared" ref="BC19" si="212">(V19-AVERAGE(V21:V22))</f>
        <v>2.4255214999999999</v>
      </c>
      <c r="BD19" s="201">
        <f t="shared" ref="BD19" si="213">(W19-AVERAGE(W21:W22))</f>
        <v>2450.2011939999998</v>
      </c>
      <c r="BE19" s="201">
        <f t="shared" ref="BE19" si="214">(X19-AVERAGE(X21:X22))</f>
        <v>1727.06511</v>
      </c>
      <c r="BF19" s="201">
        <f t="shared" ref="BF19" si="215">(Y19-AVERAGE(Y21:Y22))</f>
        <v>0.25126000000000004</v>
      </c>
      <c r="BG19" s="201">
        <f t="shared" ref="BG19" si="216">(Z19-AVERAGE(Z21:Z22))</f>
        <v>20.0631585</v>
      </c>
      <c r="BH19" s="201">
        <f t="shared" ref="BH19" si="217">(AA19-AVERAGE(AA21:AA22))</f>
        <v>292.0715515</v>
      </c>
      <c r="BI19" s="201">
        <f t="shared" ref="BI19" si="218">(AB19-AVERAGE(AB21:AB22))</f>
        <v>0.16425000000000001</v>
      </c>
      <c r="BJ19" s="201">
        <f t="shared" ref="BJ19" si="219">(AC19-AVERAGE(AC21:AC22))</f>
        <v>29.496035499999998</v>
      </c>
      <c r="BK19" s="201">
        <f t="shared" ref="BK19" si="220">(AD19-AVERAGE(AD21:AD22))</f>
        <v>3.7804000000000004E-2</v>
      </c>
      <c r="BL19" s="201">
        <f t="shared" ref="BL19" si="221">(AE19-AVERAGE(AE21:AE22))</f>
        <v>0.81435550000000001</v>
      </c>
      <c r="BM19" s="201">
        <f t="shared" ref="BM19" si="222">(AF19-AVERAGE(AF21:AF22))</f>
        <v>0.18175850000000002</v>
      </c>
      <c r="BN19" s="201">
        <f t="shared" ref="BN19" si="223">(AG19-AVERAGE(AG21:AG22))</f>
        <v>0.40329399999999999</v>
      </c>
      <c r="BO19" s="201">
        <f t="shared" ref="BO19" si="224">(AH19-AVERAGE(AH21:AH22))</f>
        <v>8.4325000000000008E-3</v>
      </c>
      <c r="BP19" s="201">
        <f t="shared" ref="BP19" si="225">(AI19-AVERAGE(AI21:AI22))</f>
        <v>0.24597049999999998</v>
      </c>
      <c r="BQ19" s="201">
        <f t="shared" ref="BQ19" si="226">(AJ19-AVERAGE(AJ21:AJ22))</f>
        <v>4.8964999999999998E-3</v>
      </c>
      <c r="BR19" s="201"/>
      <c r="BS19" s="201">
        <f>(AL19*15/1000/$D$19)*1000</f>
        <v>0.38347355769230773</v>
      </c>
      <c r="BT19" s="201">
        <f t="shared" ref="BT19:CA19" si="227">(AM19*15/1000/$D$19)*1000</f>
        <v>2146.6710336538463</v>
      </c>
      <c r="BU19" s="201">
        <f t="shared" si="227"/>
        <v>692.03046875000007</v>
      </c>
      <c r="BV19" s="201">
        <f t="shared" si="227"/>
        <v>13394.17734375</v>
      </c>
      <c r="BW19" s="201">
        <f t="shared" si="227"/>
        <v>8857.9084134615405</v>
      </c>
      <c r="BX19" s="201">
        <f t="shared" si="227"/>
        <v>2493.7170072115391</v>
      </c>
      <c r="BY19" s="201">
        <f t="shared" si="227"/>
        <v>11797.880709134615</v>
      </c>
      <c r="BZ19" s="201">
        <f t="shared" si="227"/>
        <v>124.690625</v>
      </c>
      <c r="CA19" s="201">
        <f t="shared" si="227"/>
        <v>0.45474759615384613</v>
      </c>
      <c r="CB19" s="201">
        <f>(AU19*15/1000/$D$19)</f>
        <v>5.4155048076923078E-3</v>
      </c>
      <c r="CC19" s="201">
        <f t="shared" ref="CC19:CX19" si="228">(AV19*15/1000/$D$19)</f>
        <v>-2.1157451923076928E-2</v>
      </c>
      <c r="CD19" s="201">
        <f t="shared" si="228"/>
        <v>2.2079248798076918</v>
      </c>
      <c r="CE19" s="201">
        <f t="shared" si="228"/>
        <v>1.2699038461538463E-2</v>
      </c>
      <c r="CF19" s="201">
        <f t="shared" si="228"/>
        <v>0.57352427884615398</v>
      </c>
      <c r="CG19" s="201">
        <f t="shared" si="228"/>
        <v>10.808682572115384</v>
      </c>
      <c r="CH19" s="201">
        <f t="shared" si="228"/>
        <v>208.64588545673078</v>
      </c>
      <c r="CI19" s="201">
        <f t="shared" si="228"/>
        <v>0.32690685096153849</v>
      </c>
      <c r="CJ19" s="201">
        <f t="shared" si="228"/>
        <v>0.29152902644230766</v>
      </c>
      <c r="CK19" s="201">
        <f t="shared" si="228"/>
        <v>294.4953358173077</v>
      </c>
      <c r="CL19" s="201">
        <f t="shared" si="228"/>
        <v>207.57994110576922</v>
      </c>
      <c r="CM19" s="201">
        <f t="shared" si="228"/>
        <v>3.0199519230769235E-2</v>
      </c>
      <c r="CN19" s="201">
        <f t="shared" si="228"/>
        <v>2.4114373197115384</v>
      </c>
      <c r="CO19" s="201">
        <f t="shared" si="228"/>
        <v>35.104753786057692</v>
      </c>
      <c r="CP19" s="201">
        <f t="shared" si="228"/>
        <v>1.9741586538461541E-2</v>
      </c>
      <c r="CQ19" s="201">
        <f t="shared" si="228"/>
        <v>3.5451965745192306</v>
      </c>
      <c r="CR19" s="201">
        <f t="shared" si="228"/>
        <v>4.5437500000000009E-3</v>
      </c>
      <c r="CS19" s="201">
        <f t="shared" si="228"/>
        <v>9.7879266826923078E-2</v>
      </c>
      <c r="CT19" s="201">
        <f t="shared" si="228"/>
        <v>2.1845973557692314E-2</v>
      </c>
      <c r="CU19" s="201">
        <f t="shared" si="228"/>
        <v>4.8472836538461538E-2</v>
      </c>
      <c r="CV19" s="201">
        <f t="shared" si="228"/>
        <v>1.0135216346153846E-3</v>
      </c>
      <c r="CW19" s="201">
        <f t="shared" si="228"/>
        <v>2.956376201923077E-2</v>
      </c>
      <c r="CX19" s="201">
        <f t="shared" si="228"/>
        <v>5.885216346153846E-4</v>
      </c>
      <c r="CY19" s="201"/>
      <c r="CZ19" s="230">
        <f>AVERAGE(E19:E20)</f>
        <v>6.4270000000000004E-3</v>
      </c>
      <c r="DA19" s="230">
        <f t="shared" ref="DA19" si="229">AVERAGE(F19:F20)</f>
        <v>17.550080000000001</v>
      </c>
      <c r="DB19" s="230">
        <f t="shared" ref="DB19" si="230">AVERAGE(G19:G20)</f>
        <v>5.5333139999999998</v>
      </c>
      <c r="DC19" s="203">
        <f>AVERAGE(H19:H20)</f>
        <v>107.02895000000001</v>
      </c>
      <c r="DD19" s="203">
        <f t="shared" ref="DD19" si="231">AVERAGE(I19:I20)</f>
        <v>71.78004</v>
      </c>
      <c r="DE19" s="203">
        <f t="shared" ref="DE19" si="232">AVERAGE(J19:J20)</f>
        <v>22.922719999999998</v>
      </c>
      <c r="DF19" s="203">
        <f t="shared" ref="DF19" si="233">AVERAGE(K19:K20)</f>
        <v>94.327584999999999</v>
      </c>
      <c r="DG19" s="203">
        <f t="shared" ref="DG19" si="234">AVERAGE(L19:L20)</f>
        <v>1.2642894999999998</v>
      </c>
      <c r="DH19" s="203">
        <f t="shared" ref="DH19" si="235">AVERAGE(M19:M20)</f>
        <v>3.0569999999999998E-3</v>
      </c>
      <c r="DI19" s="203">
        <f t="shared" ref="DI19" si="236">AVERAGE(N19:N20)</f>
        <v>7.7191499999999996E-2</v>
      </c>
      <c r="DJ19" s="203">
        <f t="shared" ref="DJ19" si="237">AVERAGE(O19:O20)</f>
        <v>-0.30237000000000003</v>
      </c>
      <c r="DK19" s="203">
        <f t="shared" ref="DK19" si="238">AVERAGE(P19:P20)</f>
        <v>28.200984999999999</v>
      </c>
      <c r="DL19" s="203">
        <f t="shared" ref="DL19" si="239">AVERAGE(Q19:Q20)</f>
        <v>8.24685E-2</v>
      </c>
      <c r="DM19" s="203">
        <f t="shared" ref="DM19" si="240">AVERAGE(R19:R20)</f>
        <v>2.8059000000000003</v>
      </c>
      <c r="DN19" s="203">
        <f t="shared" ref="DN19" si="241">AVERAGE(S19:S20)</f>
        <v>87.295989999999989</v>
      </c>
      <c r="DO19" s="203">
        <f t="shared" ref="DO19" si="242">AVERAGE(T19:T20)</f>
        <v>1671.8000000000002</v>
      </c>
      <c r="DP19" s="203">
        <f t="shared" ref="DP19" si="243">AVERAGE(U19:U20)</f>
        <v>2.5975215</v>
      </c>
      <c r="DQ19" s="203">
        <f t="shared" ref="DQ19" si="244">AVERAGE(V19:V20)</f>
        <v>1.5457430000000001</v>
      </c>
      <c r="DR19" s="203">
        <f t="shared" ref="DR19" si="245">AVERAGE(W19:W20)</f>
        <v>2368.3145</v>
      </c>
      <c r="DS19" s="203">
        <f t="shared" ref="DS19" si="246">AVERAGE(X19:X20)</f>
        <v>1670.9324999999999</v>
      </c>
      <c r="DT19" s="203">
        <f t="shared" ref="DT19" si="247">AVERAGE(Y19:Y20)</f>
        <v>0.17096700000000001</v>
      </c>
      <c r="DU19" s="203">
        <f t="shared" ref="DU19" si="248">AVERAGE(Z19:Z20)</f>
        <v>19.557980000000001</v>
      </c>
      <c r="DV19" s="203">
        <f t="shared" ref="DV19" si="249">AVERAGE(AA19:AA20)</f>
        <v>279.01255000000003</v>
      </c>
      <c r="DW19" s="203">
        <f t="shared" ref="DW19" si="250">AVERAGE(AB19:AB20)</f>
        <v>0.95180050000000005</v>
      </c>
      <c r="DX19" s="203">
        <f t="shared" ref="DX19" si="251">AVERAGE(AC19:AC20)</f>
        <v>28.473095000000001</v>
      </c>
      <c r="DY19" s="203">
        <f t="shared" ref="DY19" si="252">AVERAGE(AD19:AD20)</f>
        <v>1.67075E-2</v>
      </c>
      <c r="DZ19" s="203">
        <f t="shared" ref="DZ19" si="253">AVERAGE(AE19:AE20)</f>
        <v>0.81932649999999996</v>
      </c>
      <c r="EA19" s="203">
        <f t="shared" ref="EA19" si="254">AVERAGE(AF19:AF20)</f>
        <v>0.17906949999999999</v>
      </c>
      <c r="EB19" s="203">
        <f t="shared" ref="EB19" si="255">AVERAGE(AG19:AG20)</f>
        <v>0.45746999999999999</v>
      </c>
      <c r="EC19" s="203">
        <f t="shared" ref="EC19" si="256">AVERAGE(AH19:AH20)</f>
        <v>9.2304999999999991E-3</v>
      </c>
      <c r="ED19" s="203">
        <f t="shared" ref="ED19" si="257">AVERAGE(AI19:AI20)</f>
        <v>0.54534300000000002</v>
      </c>
      <c r="EE19" s="203">
        <f>AVERAGE(AJ19:AJ20)</f>
        <v>6.9020000000000001E-3</v>
      </c>
    </row>
    <row r="20" spans="1:135">
      <c r="A20" s="203" t="s">
        <v>971</v>
      </c>
      <c r="B20" s="201" t="s">
        <v>964</v>
      </c>
      <c r="C20" s="201" t="s">
        <v>973</v>
      </c>
      <c r="D20" s="203">
        <v>0.12180000000000001</v>
      </c>
      <c r="E20" s="201">
        <v>6.3590000000000001E-3</v>
      </c>
      <c r="F20" s="201">
        <v>16.7819</v>
      </c>
      <c r="G20" s="201">
        <v>5.2859699999999998</v>
      </c>
      <c r="H20" s="201">
        <v>102.6153</v>
      </c>
      <c r="I20" s="201">
        <v>67.656999999999996</v>
      </c>
      <c r="J20" s="201">
        <v>22.78509</v>
      </c>
      <c r="K20" s="201">
        <v>90.400419999999997</v>
      </c>
      <c r="L20" s="201">
        <v>1.212294</v>
      </c>
      <c r="M20" s="201">
        <v>1.5460000000000001E-3</v>
      </c>
      <c r="N20" s="201">
        <v>5.9658999999999997E-2</v>
      </c>
      <c r="O20" s="201">
        <v>-0.30237000000000003</v>
      </c>
      <c r="P20" s="201">
        <v>21.56362</v>
      </c>
      <c r="Q20" s="201">
        <v>6.3131000000000007E-2</v>
      </c>
      <c r="R20" s="201">
        <v>0.68072200000000005</v>
      </c>
      <c r="S20" s="201">
        <v>84.371679999999998</v>
      </c>
      <c r="T20" s="201">
        <v>1602.835</v>
      </c>
      <c r="U20" s="201">
        <v>2.4682059999999999</v>
      </c>
      <c r="V20" s="201">
        <v>0.28453000000000001</v>
      </c>
      <c r="W20" s="201">
        <v>2282.547</v>
      </c>
      <c r="X20" s="201">
        <v>1598.682</v>
      </c>
      <c r="Y20" s="201">
        <v>0.11884400000000001</v>
      </c>
      <c r="Z20" s="201">
        <v>19.005199999999999</v>
      </c>
      <c r="AA20" s="201">
        <v>265.85419999999999</v>
      </c>
      <c r="AB20" s="201">
        <v>0.92228399999999999</v>
      </c>
      <c r="AC20" s="201">
        <v>27.053129999999999</v>
      </c>
      <c r="AD20" s="201">
        <v>1.4971E-2</v>
      </c>
      <c r="AE20" s="201">
        <v>0.82118899999999995</v>
      </c>
      <c r="AF20" s="201">
        <v>0.175127</v>
      </c>
      <c r="AG20" s="201">
        <v>0.34514800000000001</v>
      </c>
      <c r="AH20" s="201">
        <v>8.9079999999999993E-3</v>
      </c>
      <c r="AI20" s="201">
        <v>0.50873900000000005</v>
      </c>
      <c r="AJ20" s="201">
        <v>6.581E-3</v>
      </c>
      <c r="AK20" s="201"/>
      <c r="AL20" s="201">
        <f>(E20-AVERAGE(E21:E22))</f>
        <v>3.0544999999999999E-3</v>
      </c>
      <c r="AM20" s="201">
        <f t="shared" ref="AM20" si="258">(F20-AVERAGE(F21:F22))</f>
        <v>16.323943</v>
      </c>
      <c r="AN20" s="201">
        <f t="shared" ref="AN20" si="259">(G20-AVERAGE(G21:G22))</f>
        <v>5.2630055000000002</v>
      </c>
      <c r="AO20" s="201">
        <f t="shared" ref="AO20" si="260">(H20-AVERAGE(H21:H22))</f>
        <v>102.6122555</v>
      </c>
      <c r="AP20" s="201">
        <f t="shared" ref="AP20" si="261">(I20-AVERAGE(I21:I22))</f>
        <v>65.451718</v>
      </c>
      <c r="AQ20" s="201">
        <f t="shared" ref="AQ20" si="262">(J20-AVERAGE(J21:J22))</f>
        <v>20.472465499999998</v>
      </c>
      <c r="AR20" s="201">
        <f t="shared" ref="AR20" si="263">(K20-AVERAGE(K21:K22))</f>
        <v>90.304037499999993</v>
      </c>
      <c r="AS20" s="201">
        <f t="shared" ref="AS20" si="264">(L20-AVERAGE(L21:L22))</f>
        <v>0.93343500000000001</v>
      </c>
      <c r="AT20" s="201">
        <f t="shared" ref="AT20" si="265">(M20-AVERAGE(M21:M22))</f>
        <v>7.6150000000000002E-4</v>
      </c>
      <c r="AU20" s="201">
        <f t="shared" ref="AU20" si="266">(N20-AVERAGE(N21:N22))</f>
        <v>9.9919999999999939E-3</v>
      </c>
      <c r="AV20" s="201">
        <f t="shared" ref="AV20" si="267">(O20-AVERAGE(O21:O22))</f>
        <v>-0.17603000000000002</v>
      </c>
      <c r="AW20" s="201">
        <f>(P20-AVERAGE(P21:P22))</f>
        <v>5.095205</v>
      </c>
      <c r="AX20" s="201">
        <f t="shared" ref="AX20" si="268">(Q20-AVERAGE(Q21:Q22))</f>
        <v>6.6981000000000013E-2</v>
      </c>
      <c r="AY20" s="201">
        <f t="shared" ref="AY20" si="269">(R20-AVERAGE(R21:R22))</f>
        <v>0.521366</v>
      </c>
      <c r="AZ20" s="201">
        <f t="shared" ref="AZ20" si="270">(S20-AVERAGE(S21:S22))</f>
        <v>84.079618999999994</v>
      </c>
      <c r="BA20" s="201">
        <f t="shared" ref="BA20" si="271">(T20-AVERAGE(T21:T22))</f>
        <v>1598.0037669999999</v>
      </c>
      <c r="BB20" s="201">
        <f t="shared" ref="BB20" si="272">(U20-AVERAGE(U21:U22))</f>
        <v>2.4612339999999997</v>
      </c>
      <c r="BC20" s="201">
        <f t="shared" ref="BC20" si="273">(V20-AVERAGE(V21:V22))</f>
        <v>-9.6904500000000005E-2</v>
      </c>
      <c r="BD20" s="201">
        <f t="shared" ref="BD20" si="274">(W20-AVERAGE(W21:W22))</f>
        <v>2278.6661939999999</v>
      </c>
      <c r="BE20" s="201">
        <f t="shared" ref="BE20" si="275">(X20-AVERAGE(X21:X22))</f>
        <v>1582.56411</v>
      </c>
      <c r="BF20" s="201">
        <f t="shared" ref="BF20" si="276">(Y20-AVERAGE(Y21:Y22))</f>
        <v>0.14701400000000001</v>
      </c>
      <c r="BG20" s="201">
        <f t="shared" ref="BG20" si="277">(Z20-AVERAGE(Z21:Z22))</f>
        <v>18.9575985</v>
      </c>
      <c r="BH20" s="201">
        <f t="shared" ref="BH20" si="278">(AA20-AVERAGE(AA21:AA22))</f>
        <v>265.75485149999997</v>
      </c>
      <c r="BI20" s="201">
        <f t="shared" ref="BI20" si="279">(AB20-AVERAGE(AB21:AB22))</f>
        <v>0.105217</v>
      </c>
      <c r="BJ20" s="201">
        <f t="shared" ref="BJ20" si="280">(AC20-AVERAGE(AC21:AC22))</f>
        <v>26.656105499999999</v>
      </c>
      <c r="BK20" s="201">
        <f t="shared" ref="BK20" si="281">(AD20-AVERAGE(AD21:AD22))</f>
        <v>3.4331E-2</v>
      </c>
      <c r="BL20" s="201">
        <f t="shared" ref="BL20" si="282">(AE20-AVERAGE(AE21:AE22))</f>
        <v>0.81808049999999999</v>
      </c>
      <c r="BM20" s="201">
        <f t="shared" ref="BM20" si="283">(AF20-AVERAGE(AF21:AF22))</f>
        <v>0.17387350000000001</v>
      </c>
      <c r="BN20" s="201">
        <f t="shared" ref="BN20" si="284">(AG20-AVERAGE(AG21:AG22))</f>
        <v>0.17865000000000003</v>
      </c>
      <c r="BO20" s="201">
        <f t="shared" ref="BO20" si="285">(AH20-AVERAGE(AH21:AH22))</f>
        <v>7.7874999999999993E-3</v>
      </c>
      <c r="BP20" s="201">
        <f t="shared" ref="BP20" si="286">(AI20-AVERAGE(AI21:AI22))</f>
        <v>0.17276250000000004</v>
      </c>
      <c r="BQ20" s="201">
        <f t="shared" ref="BQ20" si="287">(AJ20-AVERAGE(AJ21:AJ22))</f>
        <v>4.2544999999999996E-3</v>
      </c>
      <c r="BR20" s="201"/>
      <c r="BS20" s="201">
        <f>(AL20*15/1000/$D$20)*1000</f>
        <v>0.37616995073891624</v>
      </c>
      <c r="BT20" s="201">
        <f t="shared" ref="BT20:CA20" si="288">(AM20*15/1000/$D$20)*1000</f>
        <v>2010.3378078817732</v>
      </c>
      <c r="BU20" s="201">
        <f t="shared" si="288"/>
        <v>648.15338669950745</v>
      </c>
      <c r="BV20" s="201">
        <f t="shared" si="288"/>
        <v>12636.977278325123</v>
      </c>
      <c r="BW20" s="201">
        <f t="shared" si="288"/>
        <v>8060.5564039408864</v>
      </c>
      <c r="BX20" s="201">
        <f t="shared" si="288"/>
        <v>2521.239593596059</v>
      </c>
      <c r="BY20" s="201">
        <f t="shared" si="288"/>
        <v>11121.186884236453</v>
      </c>
      <c r="BZ20" s="201">
        <f t="shared" si="288"/>
        <v>114.95504926108374</v>
      </c>
      <c r="CA20" s="201">
        <f t="shared" si="288"/>
        <v>9.378078817733991E-2</v>
      </c>
      <c r="CB20" s="201">
        <f>(AU20*15/1000/$D$20)</f>
        <v>1.2305418719211814E-3</v>
      </c>
      <c r="CC20" s="201">
        <f t="shared" ref="CC20:CX20" si="289">(AV20*15/1000/$D$20)</f>
        <v>-2.1678571428571429E-2</v>
      </c>
      <c r="CD20" s="201">
        <f t="shared" si="289"/>
        <v>0.62748830049261095</v>
      </c>
      <c r="CE20" s="201">
        <f t="shared" si="289"/>
        <v>8.2488916256157653E-3</v>
      </c>
      <c r="CF20" s="201">
        <f t="shared" si="289"/>
        <v>6.4207635467980292E-2</v>
      </c>
      <c r="CG20" s="201">
        <f t="shared" si="289"/>
        <v>10.354632881773396</v>
      </c>
      <c r="CH20" s="201">
        <f t="shared" si="289"/>
        <v>196.79849347290639</v>
      </c>
      <c r="CI20" s="201">
        <f t="shared" si="289"/>
        <v>0.30310763546798025</v>
      </c>
      <c r="CJ20" s="201">
        <f t="shared" si="289"/>
        <v>-1.1934051724137931E-2</v>
      </c>
      <c r="CK20" s="201">
        <f t="shared" si="289"/>
        <v>280.62391551724141</v>
      </c>
      <c r="CL20" s="201">
        <f t="shared" si="289"/>
        <v>194.89705788177341</v>
      </c>
      <c r="CM20" s="201">
        <f t="shared" si="289"/>
        <v>1.8105172413793103E-2</v>
      </c>
      <c r="CN20" s="201">
        <f t="shared" si="289"/>
        <v>2.3346796182266005</v>
      </c>
      <c r="CO20" s="201">
        <f t="shared" si="289"/>
        <v>32.728429987684727</v>
      </c>
      <c r="CP20" s="201">
        <f t="shared" si="289"/>
        <v>1.2957758620689654E-2</v>
      </c>
      <c r="CQ20" s="201">
        <f t="shared" si="289"/>
        <v>3.2827716133004921</v>
      </c>
      <c r="CR20" s="201">
        <f t="shared" si="289"/>
        <v>4.2279556650246311E-3</v>
      </c>
      <c r="CS20" s="201">
        <f t="shared" si="289"/>
        <v>0.10074883004926107</v>
      </c>
      <c r="CT20" s="201">
        <f t="shared" si="289"/>
        <v>2.1412992610837442E-2</v>
      </c>
      <c r="CU20" s="201">
        <f t="shared" si="289"/>
        <v>2.2001231527093598E-2</v>
      </c>
      <c r="CV20" s="201">
        <f t="shared" si="289"/>
        <v>9.5905172413793087E-4</v>
      </c>
      <c r="CW20" s="201">
        <f t="shared" si="289"/>
        <v>2.1276169950738919E-2</v>
      </c>
      <c r="CX20" s="201">
        <f t="shared" si="289"/>
        <v>5.2395320197044326E-4</v>
      </c>
      <c r="CY20" s="201"/>
    </row>
    <row r="21" spans="1:135">
      <c r="B21" s="201" t="s">
        <v>974</v>
      </c>
      <c r="C21" s="201"/>
      <c r="D21" s="203">
        <v>0</v>
      </c>
      <c r="E21" s="201">
        <v>3.4320000000000002E-3</v>
      </c>
      <c r="F21" s="201">
        <v>0.43796400000000002</v>
      </c>
      <c r="G21" s="201">
        <v>2.3491999999999999E-2</v>
      </c>
      <c r="H21" s="201">
        <v>1.2119E-2</v>
      </c>
      <c r="I21" s="201">
        <v>1.595369</v>
      </c>
      <c r="J21" s="201">
        <v>2.382593</v>
      </c>
      <c r="K21" s="201">
        <v>0.109734</v>
      </c>
      <c r="L21" s="201">
        <v>0.357626</v>
      </c>
      <c r="M21" s="201">
        <v>8.6600000000000002E-4</v>
      </c>
      <c r="N21" s="201">
        <v>0.15914400000000001</v>
      </c>
      <c r="O21" s="201">
        <v>-6.7780000000000007E-2</v>
      </c>
      <c r="P21" s="201">
        <v>14.19999</v>
      </c>
      <c r="Q21" s="201">
        <v>-8.8000000000000003E-4</v>
      </c>
      <c r="R21" s="201">
        <v>0.30620000000000003</v>
      </c>
      <c r="S21" s="201">
        <v>0.33592300000000003</v>
      </c>
      <c r="T21" s="201">
        <v>7.0187939999999998</v>
      </c>
      <c r="U21" s="201">
        <v>7.77E-3</v>
      </c>
      <c r="V21" s="201">
        <v>0.39074999999999999</v>
      </c>
      <c r="W21" s="201">
        <v>5.1752969999999996</v>
      </c>
      <c r="X21" s="201">
        <v>14.50418</v>
      </c>
      <c r="Y21" s="201">
        <v>-2.2460000000000001E-2</v>
      </c>
      <c r="Z21" s="201">
        <v>4.0579999999999998E-2</v>
      </c>
      <c r="AA21" s="201">
        <v>9.8802000000000001E-2</v>
      </c>
      <c r="AB21" s="201">
        <v>1.253833</v>
      </c>
      <c r="AC21" s="201">
        <v>0.56284500000000004</v>
      </c>
      <c r="AD21" s="201">
        <v>-1.6670000000000001E-2</v>
      </c>
      <c r="AE21" s="201">
        <v>2.3890000000000001E-3</v>
      </c>
      <c r="AF21" s="201">
        <v>6.3670000000000003E-3</v>
      </c>
      <c r="AG21" s="201">
        <v>0.137291</v>
      </c>
      <c r="AH21" s="201">
        <v>1.511E-3</v>
      </c>
      <c r="AI21" s="201">
        <v>0.49230400000000002</v>
      </c>
      <c r="AJ21" s="201">
        <v>2.9150000000000001E-3</v>
      </c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1"/>
      <c r="BA21" s="201"/>
      <c r="BB21" s="201"/>
      <c r="BC21" s="201"/>
      <c r="BD21" s="201"/>
      <c r="BE21" s="201"/>
      <c r="BF21" s="201"/>
      <c r="BG21" s="201"/>
      <c r="BH21" s="201"/>
      <c r="BI21" s="201"/>
      <c r="BJ21" s="201"/>
      <c r="BK21" s="201"/>
      <c r="BL21" s="201"/>
      <c r="BM21" s="201"/>
      <c r="BN21" s="201"/>
      <c r="BO21" s="201"/>
      <c r="BP21" s="201"/>
      <c r="BQ21" s="201"/>
      <c r="BR21" s="201"/>
      <c r="BS21" s="201"/>
      <c r="BT21" s="201"/>
      <c r="BU21" s="201"/>
      <c r="BV21" s="201"/>
      <c r="BW21" s="201"/>
      <c r="BX21" s="201"/>
      <c r="BY21" s="201"/>
      <c r="BZ21" s="201"/>
      <c r="CA21" s="201"/>
      <c r="CB21" s="201"/>
      <c r="CC21" s="201"/>
      <c r="CD21" s="201"/>
      <c r="CE21" s="201"/>
      <c r="CF21" s="201"/>
      <c r="CG21" s="201"/>
      <c r="CH21" s="201"/>
      <c r="CI21" s="201"/>
      <c r="CJ21" s="201"/>
      <c r="CK21" s="201"/>
      <c r="CL21" s="201"/>
      <c r="CM21" s="201"/>
      <c r="CN21" s="201"/>
      <c r="CO21" s="201"/>
      <c r="CP21" s="201"/>
      <c r="CQ21" s="201"/>
      <c r="CR21" s="201"/>
      <c r="CS21" s="201"/>
      <c r="CT21" s="201"/>
      <c r="CU21" s="201"/>
      <c r="CV21" s="201"/>
      <c r="CW21" s="201"/>
      <c r="CX21" s="201"/>
      <c r="CY21" s="201"/>
      <c r="CZ21" s="221" t="s">
        <v>959</v>
      </c>
    </row>
    <row r="22" spans="1:135">
      <c r="B22" s="201" t="s">
        <v>974</v>
      </c>
      <c r="C22" s="201"/>
      <c r="D22" s="203">
        <v>0</v>
      </c>
      <c r="E22" s="201">
        <v>3.1770000000000001E-3</v>
      </c>
      <c r="F22" s="201">
        <v>0.47794999999999999</v>
      </c>
      <c r="G22" s="201">
        <v>2.2436999999999999E-2</v>
      </c>
      <c r="H22" s="201">
        <v>-6.0299999999999998E-3</v>
      </c>
      <c r="I22" s="201">
        <v>2.8151950000000001</v>
      </c>
      <c r="J22" s="201">
        <v>2.2426560000000002</v>
      </c>
      <c r="K22" s="201">
        <v>8.3030999999999994E-2</v>
      </c>
      <c r="L22" s="201">
        <v>0.20009199999999999</v>
      </c>
      <c r="M22" s="201">
        <v>7.0299999999999996E-4</v>
      </c>
      <c r="N22" s="201">
        <v>-5.9810000000000002E-2</v>
      </c>
      <c r="O22" s="201">
        <v>-0.18490000000000001</v>
      </c>
      <c r="P22" s="201">
        <v>18.736840000000001</v>
      </c>
      <c r="Q22" s="201">
        <v>-6.8199999999999997E-3</v>
      </c>
      <c r="R22" s="201">
        <v>1.2512000000000001E-2</v>
      </c>
      <c r="S22" s="201">
        <v>0.248199</v>
      </c>
      <c r="T22" s="201">
        <v>2.643672</v>
      </c>
      <c r="U22" s="201">
        <v>6.1739999999999998E-3</v>
      </c>
      <c r="V22" s="201">
        <v>0.37211899999999998</v>
      </c>
      <c r="W22" s="201">
        <v>2.5863149999999999</v>
      </c>
      <c r="X22" s="201">
        <v>17.7316</v>
      </c>
      <c r="Y22" s="201">
        <v>-3.388E-2</v>
      </c>
      <c r="Z22" s="201">
        <v>5.4622999999999998E-2</v>
      </c>
      <c r="AA22" s="201">
        <v>9.9894999999999998E-2</v>
      </c>
      <c r="AB22" s="201">
        <v>0.380301</v>
      </c>
      <c r="AC22" s="201">
        <v>0.23120399999999999</v>
      </c>
      <c r="AD22" s="201">
        <v>-2.205E-2</v>
      </c>
      <c r="AE22" s="201">
        <v>3.8279999999999998E-3</v>
      </c>
      <c r="AF22" s="201">
        <v>-3.8600000000000001E-3</v>
      </c>
      <c r="AG22" s="201">
        <v>0.19570499999999999</v>
      </c>
      <c r="AH22" s="201">
        <v>7.2999999999999996E-4</v>
      </c>
      <c r="AI22" s="201">
        <v>0.179649</v>
      </c>
      <c r="AJ22" s="201">
        <v>1.738E-3</v>
      </c>
      <c r="AK22" s="201"/>
      <c r="AL22" s="201"/>
      <c r="AM22" s="201"/>
      <c r="AN22" s="201"/>
      <c r="AO22" s="201"/>
      <c r="AP22" s="201"/>
      <c r="AQ22" s="201"/>
      <c r="AR22" s="201"/>
      <c r="AS22" s="201"/>
      <c r="AT22" s="201"/>
      <c r="AU22" s="201"/>
      <c r="AV22" s="201"/>
      <c r="AW22" s="201"/>
      <c r="AX22" s="201"/>
      <c r="AY22" s="201"/>
      <c r="AZ22" s="201"/>
      <c r="BA22" s="201"/>
      <c r="BB22" s="201"/>
      <c r="BC22" s="201"/>
      <c r="BD22" s="201"/>
      <c r="BE22" s="201"/>
      <c r="BF22" s="201"/>
      <c r="BG22" s="201"/>
      <c r="BH22" s="201"/>
      <c r="BI22" s="201"/>
      <c r="BJ22" s="201"/>
      <c r="BK22" s="201"/>
      <c r="BL22" s="201"/>
      <c r="BM22" s="201"/>
      <c r="BN22" s="201"/>
      <c r="BO22" s="201"/>
      <c r="BP22" s="201"/>
      <c r="BQ22" s="201"/>
      <c r="BR22" s="201"/>
      <c r="BS22" s="201"/>
      <c r="BT22" s="201"/>
      <c r="BU22" s="201"/>
      <c r="BV22" s="201"/>
      <c r="BW22" s="201"/>
      <c r="BX22" s="201"/>
      <c r="BY22" s="201"/>
      <c r="BZ22" s="201"/>
      <c r="CA22" s="201"/>
      <c r="CB22" s="201"/>
      <c r="CC22" s="201"/>
      <c r="CD22" s="201"/>
      <c r="CE22" s="201"/>
      <c r="CF22" s="201"/>
      <c r="CG22" s="201"/>
      <c r="CH22" s="201"/>
      <c r="CI22" s="201"/>
      <c r="CJ22" s="201"/>
      <c r="CK22" s="201"/>
      <c r="CL22" s="201"/>
      <c r="CM22" s="201"/>
      <c r="CN22" s="201"/>
      <c r="CO22" s="201"/>
      <c r="CP22" s="201"/>
      <c r="CQ22" s="201"/>
      <c r="CR22" s="201"/>
      <c r="CS22" s="201"/>
      <c r="CT22" s="201"/>
      <c r="CU22" s="201"/>
      <c r="CV22" s="201"/>
      <c r="CW22" s="201"/>
      <c r="CX22" s="201"/>
      <c r="CY22" s="201"/>
      <c r="CZ22" s="222">
        <v>1</v>
      </c>
      <c r="DA22" s="229">
        <f>DA19/$B$27</f>
        <v>8.6326020659124453E-3</v>
      </c>
      <c r="DB22" s="203">
        <f>DB19/$B$28</f>
        <v>8.924699999999999E-3</v>
      </c>
      <c r="DC22" s="203">
        <f>DC19/$B$29</f>
        <v>9.108846808510639E-3</v>
      </c>
      <c r="DD22" s="203">
        <f>DD19/$B$30</f>
        <v>9.5834499332443264E-3</v>
      </c>
      <c r="DE22" s="203">
        <f>DE19/$B$31</f>
        <v>7.9870104529616726E-3</v>
      </c>
      <c r="DF22" s="203">
        <f>DF19/$B$32</f>
        <v>9.2206827956989243E-3</v>
      </c>
      <c r="DG22" s="203">
        <f>DG19/$B$33</f>
        <v>9.6510648854961825E-3</v>
      </c>
      <c r="DH22" s="222">
        <v>1</v>
      </c>
      <c r="DI22" s="222">
        <v>1</v>
      </c>
      <c r="DJ22" s="222">
        <v>1</v>
      </c>
      <c r="DK22" s="222">
        <v>1</v>
      </c>
      <c r="DL22" s="203">
        <f>DL19/$B$38</f>
        <v>10.308562499999999</v>
      </c>
      <c r="DM22" s="203">
        <f>DM19/$B$39</f>
        <v>52.941509433962274</v>
      </c>
      <c r="DN22" s="203">
        <f>DN19/$B$40</f>
        <v>8.345696940726576</v>
      </c>
      <c r="DO22" s="203">
        <f>DO19/$B$41</f>
        <v>8.4459937354753976</v>
      </c>
      <c r="DP22" s="203">
        <f>DP19/$B$42</f>
        <v>8.6584050000000001</v>
      </c>
      <c r="DQ22" s="203">
        <f>DQ19/$B$43</f>
        <v>3.4735797752808988E-2</v>
      </c>
      <c r="DR22" s="203">
        <f>DR19/$B$44</f>
        <v>8.6057939680232565</v>
      </c>
      <c r="DS22" s="203">
        <f>DS19/$B$45</f>
        <v>9.2265737161789065</v>
      </c>
      <c r="DT22" s="203">
        <f>DT19/$B$46</f>
        <v>8.722806122448981</v>
      </c>
      <c r="DU22" s="203">
        <f>DU19/$B$47</f>
        <v>9.6297291974396853</v>
      </c>
      <c r="DV22" s="203">
        <f>DV19/$B$48</f>
        <v>7.9040382436260641</v>
      </c>
      <c r="DW22" s="203">
        <f>DW19/$B$49</f>
        <v>9.9874134312696761</v>
      </c>
      <c r="DX22" s="203">
        <f>DX19/$B$50</f>
        <v>8.6282106060606072</v>
      </c>
      <c r="DY22" s="203">
        <f>DY19/$B$51</f>
        <v>2.8317796610169492</v>
      </c>
      <c r="DZ22" s="203">
        <f>DZ19/$B$52</f>
        <v>8.4466649484536074</v>
      </c>
      <c r="EA22" s="203">
        <f>EA19/$B$53</f>
        <v>8.5271190476190473</v>
      </c>
      <c r="EB22" s="222">
        <v>1</v>
      </c>
      <c r="EC22" s="222">
        <v>1</v>
      </c>
      <c r="ED22" s="203">
        <f>ED19/$B$56</f>
        <v>8.6838057324840783</v>
      </c>
      <c r="EE22" s="222">
        <v>1</v>
      </c>
    </row>
    <row r="23" spans="1:135" s="217" customFormat="1"/>
    <row r="25" spans="1:135">
      <c r="A25" s="201" t="s">
        <v>975</v>
      </c>
      <c r="B25" s="206" t="s">
        <v>976</v>
      </c>
      <c r="C25" s="207" t="s">
        <v>977</v>
      </c>
      <c r="D25" s="208" t="s">
        <v>978</v>
      </c>
    </row>
    <row r="26" spans="1:135">
      <c r="A26" s="201" t="s">
        <v>896</v>
      </c>
      <c r="B26" s="209" t="s">
        <v>979</v>
      </c>
      <c r="C26" s="210" t="s">
        <v>979</v>
      </c>
      <c r="D26" s="211" t="s">
        <v>979</v>
      </c>
    </row>
    <row r="27" spans="1:135">
      <c r="A27" s="201" t="s">
        <v>492</v>
      </c>
      <c r="B27" s="212">
        <v>2033</v>
      </c>
      <c r="C27" s="213">
        <v>1728.05</v>
      </c>
      <c r="D27" s="211">
        <v>2337.9499999999998</v>
      </c>
    </row>
    <row r="28" spans="1:135">
      <c r="A28" s="201" t="s">
        <v>494</v>
      </c>
      <c r="B28" s="212">
        <v>620</v>
      </c>
      <c r="C28" s="213">
        <v>527</v>
      </c>
      <c r="D28" s="211">
        <v>713</v>
      </c>
    </row>
    <row r="29" spans="1:135">
      <c r="A29" s="201" t="s">
        <v>489</v>
      </c>
      <c r="B29" s="212">
        <v>11750</v>
      </c>
      <c r="C29" s="213">
        <v>9987.5</v>
      </c>
      <c r="D29" s="211">
        <v>13512.5</v>
      </c>
    </row>
    <row r="30" spans="1:135">
      <c r="A30" s="201" t="s">
        <v>897</v>
      </c>
      <c r="B30" s="212">
        <v>7490</v>
      </c>
      <c r="C30" s="213">
        <v>6366.5</v>
      </c>
      <c r="D30" s="211">
        <v>8613.5</v>
      </c>
    </row>
    <row r="31" spans="1:135">
      <c r="A31" s="201" t="s">
        <v>493</v>
      </c>
      <c r="B31" s="212">
        <v>2870</v>
      </c>
      <c r="C31" s="213">
        <v>2869.9870000000001</v>
      </c>
      <c r="D31" s="213">
        <v>2870</v>
      </c>
    </row>
    <row r="32" spans="1:135">
      <c r="A32" s="201" t="s">
        <v>491</v>
      </c>
      <c r="B32" s="212">
        <v>10230</v>
      </c>
      <c r="C32" s="213">
        <v>8695.5</v>
      </c>
      <c r="D32" s="211">
        <v>11764.5</v>
      </c>
    </row>
    <row r="33" spans="1:4">
      <c r="A33" s="201" t="s">
        <v>488</v>
      </c>
      <c r="B33" s="212">
        <v>131</v>
      </c>
      <c r="C33" s="213">
        <v>111.35</v>
      </c>
      <c r="D33" s="211">
        <v>150.65</v>
      </c>
    </row>
    <row r="34" spans="1:4">
      <c r="A34" s="201" t="s">
        <v>898</v>
      </c>
      <c r="B34" s="209" t="s">
        <v>979</v>
      </c>
      <c r="C34" s="210" t="s">
        <v>979</v>
      </c>
      <c r="D34" s="211" t="s">
        <v>979</v>
      </c>
    </row>
    <row r="35" spans="1:4">
      <c r="A35" s="201" t="s">
        <v>899</v>
      </c>
      <c r="B35" s="209" t="s">
        <v>979</v>
      </c>
      <c r="C35" s="210" t="s">
        <v>979</v>
      </c>
      <c r="D35" s="211" t="s">
        <v>979</v>
      </c>
    </row>
    <row r="36" spans="1:4">
      <c r="A36" s="201" t="s">
        <v>900</v>
      </c>
      <c r="B36" s="209" t="s">
        <v>979</v>
      </c>
      <c r="C36" s="210" t="s">
        <v>979</v>
      </c>
      <c r="D36" s="211" t="s">
        <v>979</v>
      </c>
    </row>
    <row r="37" spans="1:4">
      <c r="A37" s="201" t="s">
        <v>901</v>
      </c>
      <c r="B37" s="209" t="s">
        <v>979</v>
      </c>
      <c r="C37" s="210" t="s">
        <v>979</v>
      </c>
      <c r="D37" s="211" t="s">
        <v>979</v>
      </c>
    </row>
    <row r="38" spans="1:4">
      <c r="A38" s="201" t="s">
        <v>902</v>
      </c>
      <c r="B38" s="212">
        <v>8.0000000000000002E-3</v>
      </c>
      <c r="C38" s="213">
        <v>6.7999999999999996E-3</v>
      </c>
      <c r="D38" s="211">
        <v>9.1999999999999998E-3</v>
      </c>
    </row>
    <row r="39" spans="1:4">
      <c r="A39" s="201" t="s">
        <v>903</v>
      </c>
      <c r="B39" s="212">
        <v>5.2999999999999999E-2</v>
      </c>
      <c r="C39" s="213">
        <v>4.505E-2</v>
      </c>
      <c r="D39" s="211">
        <v>6.0949999999999997E-2</v>
      </c>
    </row>
    <row r="40" spans="1:4">
      <c r="A40" s="201" t="s">
        <v>498</v>
      </c>
      <c r="B40" s="212">
        <v>10.46</v>
      </c>
      <c r="C40" s="213">
        <v>8.891</v>
      </c>
      <c r="D40" s="211">
        <v>12.029</v>
      </c>
    </row>
    <row r="41" spans="1:4">
      <c r="A41" s="201" t="s">
        <v>497</v>
      </c>
      <c r="B41" s="212">
        <v>197.94</v>
      </c>
      <c r="C41" s="213">
        <v>168.249</v>
      </c>
      <c r="D41" s="211">
        <v>227.631</v>
      </c>
    </row>
    <row r="42" spans="1:4">
      <c r="A42" s="201" t="s">
        <v>904</v>
      </c>
      <c r="B42" s="212">
        <v>0.3</v>
      </c>
      <c r="C42" s="213">
        <v>0.255</v>
      </c>
      <c r="D42" s="211">
        <v>0.34499999999999997</v>
      </c>
    </row>
    <row r="43" spans="1:4">
      <c r="A43" s="201" t="s">
        <v>905</v>
      </c>
      <c r="B43" s="212">
        <v>44.5</v>
      </c>
      <c r="C43" s="213">
        <v>37.825000000000003</v>
      </c>
      <c r="D43" s="211">
        <v>51.174999999999997</v>
      </c>
    </row>
    <row r="44" spans="1:4">
      <c r="A44" s="201" t="s">
        <v>495</v>
      </c>
      <c r="B44" s="212">
        <v>275.2</v>
      </c>
      <c r="C44" s="213">
        <v>233.92</v>
      </c>
      <c r="D44" s="211">
        <v>316.48</v>
      </c>
    </row>
    <row r="45" spans="1:4">
      <c r="A45" s="201" t="s">
        <v>500</v>
      </c>
      <c r="B45" s="212">
        <v>181.1</v>
      </c>
      <c r="C45" s="213">
        <v>153.935</v>
      </c>
      <c r="D45" s="211">
        <v>208.26499999999999</v>
      </c>
    </row>
    <row r="46" spans="1:4">
      <c r="A46" s="201" t="s">
        <v>906</v>
      </c>
      <c r="B46" s="212">
        <v>1.9599999999999999E-2</v>
      </c>
      <c r="C46" s="213">
        <v>1.6660000000000001E-2</v>
      </c>
      <c r="D46" s="211">
        <v>2.2540000000000001E-2</v>
      </c>
    </row>
    <row r="47" spans="1:4">
      <c r="A47" s="201" t="s">
        <v>499</v>
      </c>
      <c r="B47" s="212">
        <v>2.0310000000000001</v>
      </c>
      <c r="C47" s="213">
        <v>1.7263500000000001</v>
      </c>
      <c r="D47" s="211">
        <v>2.3356499999999998</v>
      </c>
    </row>
    <row r="48" spans="1:4">
      <c r="A48" s="201" t="s">
        <v>907</v>
      </c>
      <c r="B48" s="212">
        <v>35.299999999999997</v>
      </c>
      <c r="C48" s="213">
        <v>30.004999999999999</v>
      </c>
      <c r="D48" s="211">
        <v>40.594999999999999</v>
      </c>
    </row>
    <row r="49" spans="1:4">
      <c r="A49" s="201" t="s">
        <v>908</v>
      </c>
      <c r="B49" s="212">
        <v>9.5299999999999996E-2</v>
      </c>
      <c r="C49" s="213">
        <v>8.1004999999999994E-2</v>
      </c>
      <c r="D49" s="211">
        <v>0.109595</v>
      </c>
    </row>
    <row r="50" spans="1:4">
      <c r="A50" s="201" t="s">
        <v>909</v>
      </c>
      <c r="B50" s="212">
        <v>3.3</v>
      </c>
      <c r="C50" s="213">
        <v>2.8050000000000002</v>
      </c>
      <c r="D50" s="211">
        <v>3.7949999999999999</v>
      </c>
    </row>
    <row r="51" spans="1:4">
      <c r="A51" s="201" t="s">
        <v>910</v>
      </c>
      <c r="B51" s="212">
        <v>5.8999999999999999E-3</v>
      </c>
      <c r="C51" s="213">
        <v>5.0150000000000004E-3</v>
      </c>
      <c r="D51" s="211">
        <v>6.7850000000000002E-3</v>
      </c>
    </row>
    <row r="52" spans="1:4">
      <c r="A52" s="201" t="s">
        <v>911</v>
      </c>
      <c r="B52" s="212">
        <v>9.7000000000000003E-2</v>
      </c>
      <c r="C52" s="213">
        <v>8.2449999999999996E-2</v>
      </c>
      <c r="D52" s="211">
        <v>0.11155</v>
      </c>
    </row>
    <row r="53" spans="1:4">
      <c r="A53" s="201" t="s">
        <v>912</v>
      </c>
      <c r="B53" s="212">
        <v>2.1000000000000001E-2</v>
      </c>
      <c r="C53" s="213">
        <v>1.7850000000000001E-2</v>
      </c>
      <c r="D53" s="211">
        <v>2.4150000000000001E-2</v>
      </c>
    </row>
    <row r="54" spans="1:4">
      <c r="A54" s="201" t="s">
        <v>913</v>
      </c>
      <c r="B54" s="209" t="s">
        <v>979</v>
      </c>
      <c r="C54" s="210" t="s">
        <v>979</v>
      </c>
      <c r="D54" s="211" t="s">
        <v>979</v>
      </c>
    </row>
    <row r="55" spans="1:4">
      <c r="A55" s="201" t="s">
        <v>914</v>
      </c>
      <c r="B55" s="209" t="s">
        <v>979</v>
      </c>
      <c r="C55" s="210" t="s">
        <v>979</v>
      </c>
      <c r="D55" s="211" t="s">
        <v>979</v>
      </c>
    </row>
    <row r="56" spans="1:4">
      <c r="A56" s="201" t="s">
        <v>915</v>
      </c>
      <c r="B56" s="214">
        <v>6.2799999999999995E-2</v>
      </c>
      <c r="C56" s="215">
        <v>5.3379999999999997E-2</v>
      </c>
      <c r="D56" s="211">
        <v>7.2220000000000006E-2</v>
      </c>
    </row>
    <row r="57" spans="1:4">
      <c r="A57" s="201" t="s">
        <v>916</v>
      </c>
      <c r="B57" s="216" t="s">
        <v>979</v>
      </c>
      <c r="C57" s="216" t="s">
        <v>979</v>
      </c>
      <c r="D57" s="216" t="s">
        <v>979</v>
      </c>
    </row>
  </sheetData>
  <mergeCells count="4">
    <mergeCell ref="B2:C2"/>
    <mergeCell ref="AL1:AU1"/>
    <mergeCell ref="AV1:BG1"/>
    <mergeCell ref="BH1:BQ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18D5-D26A-F14C-B07F-8A70D328D853}">
  <sheetPr>
    <tabColor rgb="FF00B0F0"/>
  </sheetPr>
  <dimension ref="A1:AD141"/>
  <sheetViews>
    <sheetView zoomScale="75" workbookViewId="0">
      <selection activeCell="A39" sqref="A39:M107"/>
    </sheetView>
  </sheetViews>
  <sheetFormatPr defaultColWidth="8.75" defaultRowHeight="18"/>
  <cols>
    <col min="1" max="1" width="10.5" style="760" customWidth="1"/>
    <col min="2" max="2" width="17.25" style="759" customWidth="1"/>
    <col min="3" max="3" width="25.25" style="759" customWidth="1"/>
    <col min="4" max="4" width="26.25" style="759" bestFit="1" customWidth="1"/>
    <col min="5" max="5" width="17.25" style="760" customWidth="1"/>
    <col min="6" max="6" width="17.75" style="760" customWidth="1"/>
    <col min="7" max="7" width="19" style="760" customWidth="1"/>
    <col min="8" max="8" width="15.25" style="761" customWidth="1"/>
    <col min="9" max="9" width="13.75" style="760" customWidth="1"/>
    <col min="10" max="10" width="13.5" style="760" customWidth="1"/>
    <col min="11" max="11" width="12.75" style="760" customWidth="1"/>
    <col min="12" max="13" width="10.75" style="760" customWidth="1"/>
    <col min="14" max="14" width="14.5" style="760" hidden="1" customWidth="1"/>
    <col min="15" max="16384" width="8.75" style="760"/>
  </cols>
  <sheetData>
    <row r="1" spans="1:30">
      <c r="A1" s="758" t="s">
        <v>871</v>
      </c>
      <c r="D1" s="758" t="s">
        <v>980</v>
      </c>
      <c r="H1" s="760"/>
    </row>
    <row r="2" spans="1:30" ht="16.149999999999999" customHeight="1">
      <c r="A2" s="762" t="s">
        <v>442</v>
      </c>
      <c r="D2" s="762">
        <v>138</v>
      </c>
      <c r="H2" s="763"/>
      <c r="I2" s="763"/>
      <c r="J2" s="763"/>
      <c r="K2" s="763"/>
      <c r="L2" s="763"/>
      <c r="M2" s="763"/>
      <c r="N2" s="763"/>
      <c r="O2" s="763"/>
      <c r="P2" s="763"/>
    </row>
    <row r="3" spans="1:30">
      <c r="A3" s="762" t="s">
        <v>447</v>
      </c>
      <c r="D3" s="762">
        <v>800</v>
      </c>
      <c r="H3" s="763"/>
      <c r="I3" s="763"/>
      <c r="J3" s="763"/>
      <c r="K3" s="763"/>
      <c r="L3" s="763"/>
      <c r="M3" s="763"/>
      <c r="N3" s="763"/>
      <c r="O3" s="763"/>
      <c r="P3" s="763"/>
    </row>
    <row r="4" spans="1:30">
      <c r="A4" s="762" t="s">
        <v>445</v>
      </c>
      <c r="D4" s="762" t="s">
        <v>981</v>
      </c>
      <c r="H4" s="763"/>
      <c r="I4" s="763"/>
      <c r="J4" s="763"/>
      <c r="K4" s="763"/>
      <c r="L4" s="763"/>
      <c r="M4" s="763"/>
      <c r="N4" s="763"/>
      <c r="O4" s="763"/>
      <c r="P4" s="763"/>
    </row>
    <row r="6" spans="1:30" ht="54">
      <c r="A6" s="827" t="s">
        <v>0</v>
      </c>
      <c r="B6" s="827" t="s">
        <v>3</v>
      </c>
      <c r="C6" s="827" t="s">
        <v>126</v>
      </c>
      <c r="D6" s="827" t="s">
        <v>982</v>
      </c>
      <c r="E6" s="828" t="s">
        <v>983</v>
      </c>
      <c r="F6" s="828" t="s">
        <v>984</v>
      </c>
      <c r="G6" s="828" t="s">
        <v>985</v>
      </c>
      <c r="H6" s="826" t="s">
        <v>876</v>
      </c>
      <c r="I6" s="827" t="s">
        <v>711</v>
      </c>
      <c r="J6" s="827" t="s">
        <v>874</v>
      </c>
      <c r="K6" s="826" t="s">
        <v>875</v>
      </c>
      <c r="L6" s="764"/>
      <c r="M6" s="825"/>
      <c r="N6" s="760" t="s">
        <v>877</v>
      </c>
    </row>
    <row r="7" spans="1:30" ht="25.9" customHeight="1">
      <c r="A7" s="765" t="s">
        <v>198</v>
      </c>
      <c r="B7" s="766"/>
      <c r="C7" s="754">
        <v>3.899382716049383</v>
      </c>
      <c r="D7" s="754">
        <f>C7*1000</f>
        <v>3899.3827160493829</v>
      </c>
      <c r="E7" s="146">
        <v>1800</v>
      </c>
      <c r="F7" s="146">
        <v>1726.5</v>
      </c>
      <c r="G7" s="755">
        <f t="shared" ref="G7:G36" si="0">F7/(D7/1000)</f>
        <v>442.76238720911823</v>
      </c>
      <c r="H7" s="145">
        <f t="shared" ref="H7:H36" si="1">(G7/$D$3)*100</f>
        <v>55.345298401139772</v>
      </c>
      <c r="I7" s="767">
        <f t="shared" ref="I7:I32" si="2">AVERAGE(E7:F7)</f>
        <v>1763.25</v>
      </c>
      <c r="J7" s="759">
        <f t="shared" ref="J7:J32" si="3">_xlfn.STDEV.P(E7:F7)</f>
        <v>36.75</v>
      </c>
      <c r="K7" s="768">
        <f t="shared" ref="K7:K32" si="4">(J7/I7)*100</f>
        <v>2.0842194810718846</v>
      </c>
      <c r="M7" s="769"/>
    </row>
    <row r="8" spans="1:30">
      <c r="A8" s="765" t="s">
        <v>213</v>
      </c>
      <c r="B8" s="770"/>
      <c r="C8" s="754">
        <v>3.6053086419753084</v>
      </c>
      <c r="D8" s="754">
        <f t="shared" ref="D8:D36" si="5">C8*1000</f>
        <v>3605.3086419753085</v>
      </c>
      <c r="E8" s="146">
        <v>2000</v>
      </c>
      <c r="F8" s="146">
        <v>1748.7</v>
      </c>
      <c r="G8" s="755">
        <f t="shared" si="0"/>
        <v>485.03475670307847</v>
      </c>
      <c r="H8" s="145">
        <f t="shared" si="1"/>
        <v>60.629344587884802</v>
      </c>
      <c r="I8" s="767">
        <f t="shared" si="2"/>
        <v>1874.35</v>
      </c>
      <c r="J8" s="759">
        <f t="shared" si="3"/>
        <v>125.64999999999998</v>
      </c>
      <c r="K8" s="768">
        <f t="shared" si="4"/>
        <v>6.7036572678528543</v>
      </c>
      <c r="M8" s="769"/>
    </row>
    <row r="9" spans="1:30">
      <c r="A9" s="765" t="s">
        <v>223</v>
      </c>
      <c r="B9" s="770"/>
      <c r="C9" s="754">
        <v>3.94320987654321</v>
      </c>
      <c r="D9" s="754">
        <f t="shared" si="5"/>
        <v>3943.2098765432102</v>
      </c>
      <c r="E9" s="146">
        <v>1575</v>
      </c>
      <c r="F9" s="146">
        <v>2394</v>
      </c>
      <c r="G9" s="755">
        <f t="shared" si="0"/>
        <v>607.11959924859104</v>
      </c>
      <c r="H9" s="145">
        <f t="shared" si="1"/>
        <v>75.88994990607388</v>
      </c>
      <c r="I9" s="771">
        <f t="shared" si="2"/>
        <v>1984.5</v>
      </c>
      <c r="J9" s="759">
        <f t="shared" si="3"/>
        <v>409.5</v>
      </c>
      <c r="K9" s="768">
        <f t="shared" si="4"/>
        <v>20.634920634920633</v>
      </c>
      <c r="M9" s="769"/>
      <c r="N9" s="760" t="s">
        <v>531</v>
      </c>
    </row>
    <row r="10" spans="1:30">
      <c r="A10" s="765" t="s">
        <v>232</v>
      </c>
      <c r="B10" s="772"/>
      <c r="C10" s="754">
        <v>3.8748765432098766</v>
      </c>
      <c r="D10" s="754">
        <f t="shared" si="5"/>
        <v>3874.8765432098767</v>
      </c>
      <c r="E10" s="148">
        <v>1824</v>
      </c>
      <c r="F10" s="148">
        <v>1540.1</v>
      </c>
      <c r="G10" s="755">
        <f t="shared" si="0"/>
        <v>397.45782422379045</v>
      </c>
      <c r="H10" s="145">
        <f t="shared" si="1"/>
        <v>49.682228027973807</v>
      </c>
      <c r="I10" s="771">
        <f t="shared" si="2"/>
        <v>1682.05</v>
      </c>
      <c r="J10" s="759">
        <f t="shared" si="3"/>
        <v>141.95000000000005</v>
      </c>
      <c r="K10" s="768">
        <f t="shared" si="4"/>
        <v>8.4391070420023215</v>
      </c>
      <c r="M10" s="769"/>
    </row>
    <row r="11" spans="1:30">
      <c r="A11" s="765" t="s">
        <v>241</v>
      </c>
      <c r="B11" s="770"/>
      <c r="C11" s="754">
        <v>3.8876543209876546</v>
      </c>
      <c r="D11" s="754">
        <f t="shared" si="5"/>
        <v>3887.6543209876545</v>
      </c>
      <c r="E11" s="146">
        <v>910</v>
      </c>
      <c r="F11" s="146">
        <v>955.7</v>
      </c>
      <c r="G11" s="755">
        <f t="shared" si="0"/>
        <v>245.82946967291204</v>
      </c>
      <c r="H11" s="145">
        <f t="shared" si="1"/>
        <v>30.728683709114009</v>
      </c>
      <c r="I11" s="771">
        <f t="shared" si="2"/>
        <v>932.85</v>
      </c>
      <c r="J11" s="759">
        <f t="shared" si="3"/>
        <v>22.850000000000023</v>
      </c>
      <c r="K11" s="768">
        <f t="shared" si="4"/>
        <v>2.4494827678619311</v>
      </c>
      <c r="M11" s="769"/>
      <c r="R11" s="760" t="s">
        <v>606</v>
      </c>
    </row>
    <row r="12" spans="1:30">
      <c r="A12" s="765" t="s">
        <v>248</v>
      </c>
      <c r="B12" s="770"/>
      <c r="C12" s="754">
        <v>3.7285185185185186</v>
      </c>
      <c r="D12" s="754">
        <f t="shared" si="5"/>
        <v>3728.5185185185187</v>
      </c>
      <c r="E12" s="146">
        <v>2000</v>
      </c>
      <c r="F12" s="146">
        <v>1311.2</v>
      </c>
      <c r="G12" s="755">
        <f t="shared" si="0"/>
        <v>351.66782556868981</v>
      </c>
      <c r="H12" s="145">
        <f t="shared" si="1"/>
        <v>43.958478196086226</v>
      </c>
      <c r="I12" s="771">
        <f t="shared" si="2"/>
        <v>1655.6</v>
      </c>
      <c r="J12" s="759">
        <f t="shared" si="3"/>
        <v>344.40000000000049</v>
      </c>
      <c r="K12" s="768">
        <f t="shared" si="4"/>
        <v>20.802126117419697</v>
      </c>
      <c r="M12" s="769"/>
    </row>
    <row r="13" spans="1:30">
      <c r="A13" s="765" t="s">
        <v>255</v>
      </c>
      <c r="B13" s="770"/>
      <c r="C13" s="754">
        <v>3.8925925925925928</v>
      </c>
      <c r="D13" s="754">
        <f t="shared" si="5"/>
        <v>3892.5925925925926</v>
      </c>
      <c r="E13" s="146">
        <v>1800</v>
      </c>
      <c r="F13" s="146">
        <v>1596.9</v>
      </c>
      <c r="G13" s="755">
        <f t="shared" si="0"/>
        <v>410.24072312083729</v>
      </c>
      <c r="H13" s="145">
        <f t="shared" si="1"/>
        <v>51.280090390104661</v>
      </c>
      <c r="I13" s="771">
        <f t="shared" si="2"/>
        <v>1698.45</v>
      </c>
      <c r="J13" s="759">
        <f t="shared" si="3"/>
        <v>101.54999999999995</v>
      </c>
      <c r="K13" s="768">
        <f t="shared" si="4"/>
        <v>5.9789808354676293</v>
      </c>
      <c r="M13" s="769"/>
    </row>
    <row r="14" spans="1:30">
      <c r="A14" s="765" t="s">
        <v>263</v>
      </c>
      <c r="B14" s="770"/>
      <c r="C14" s="754">
        <v>3.7620370370370373</v>
      </c>
      <c r="D14" s="754">
        <f t="shared" si="5"/>
        <v>3762.0370370370374</v>
      </c>
      <c r="E14" s="146">
        <v>1500</v>
      </c>
      <c r="F14" s="146">
        <v>801.3</v>
      </c>
      <c r="G14" s="755">
        <f t="shared" si="0"/>
        <v>212.99630814668961</v>
      </c>
      <c r="H14" s="145">
        <f t="shared" si="1"/>
        <v>26.624538518336198</v>
      </c>
      <c r="I14" s="771">
        <f t="shared" si="2"/>
        <v>1150.6500000000001</v>
      </c>
      <c r="J14" s="759">
        <f t="shared" si="3"/>
        <v>349.3499999999998</v>
      </c>
      <c r="K14" s="768">
        <f t="shared" si="4"/>
        <v>30.361100247686068</v>
      </c>
      <c r="M14" s="769"/>
    </row>
    <row r="15" spans="1:30">
      <c r="A15" s="765" t="s">
        <v>270</v>
      </c>
      <c r="B15" s="770"/>
      <c r="C15" s="754">
        <v>3.5370370370370376</v>
      </c>
      <c r="D15" s="754">
        <f t="shared" si="5"/>
        <v>3537.0370370370379</v>
      </c>
      <c r="E15" s="146">
        <v>1100</v>
      </c>
      <c r="F15" s="146">
        <v>963.7</v>
      </c>
      <c r="G15" s="755">
        <f t="shared" si="0"/>
        <v>272.45968586387431</v>
      </c>
      <c r="H15" s="145">
        <f t="shared" si="1"/>
        <v>34.057460732984289</v>
      </c>
      <c r="I15" s="771">
        <f t="shared" si="2"/>
        <v>1031.8499999999999</v>
      </c>
      <c r="J15" s="759">
        <f t="shared" si="3"/>
        <v>68.149999999999977</v>
      </c>
      <c r="K15" s="768">
        <f t="shared" si="4"/>
        <v>6.6046421475989714</v>
      </c>
      <c r="M15" s="769"/>
    </row>
    <row r="16" spans="1:30">
      <c r="A16" s="765" t="s">
        <v>318</v>
      </c>
      <c r="B16" s="770"/>
      <c r="C16" s="754">
        <v>3.5113580246913583</v>
      </c>
      <c r="D16" s="754">
        <f t="shared" si="5"/>
        <v>3511.3580246913584</v>
      </c>
      <c r="E16" s="146">
        <v>1312</v>
      </c>
      <c r="F16" s="146">
        <v>1934.7</v>
      </c>
      <c r="G16" s="755">
        <f t="shared" si="0"/>
        <v>550.98340482385197</v>
      </c>
      <c r="H16" s="145">
        <f t="shared" si="1"/>
        <v>68.872925602981496</v>
      </c>
      <c r="I16" s="771">
        <f t="shared" si="2"/>
        <v>1623.35</v>
      </c>
      <c r="J16" s="759">
        <f t="shared" si="3"/>
        <v>311.35000000000036</v>
      </c>
      <c r="K16" s="768">
        <f t="shared" si="4"/>
        <v>19.179474543382536</v>
      </c>
      <c r="M16" s="769"/>
      <c r="AD16" s="760" t="s">
        <v>879</v>
      </c>
    </row>
    <row r="17" spans="1:16">
      <c r="A17" s="765" t="s">
        <v>321</v>
      </c>
      <c r="B17" s="770"/>
      <c r="C17" s="754">
        <v>3.5148148148148151</v>
      </c>
      <c r="D17" s="754">
        <f t="shared" si="5"/>
        <v>3514.8148148148152</v>
      </c>
      <c r="E17" s="146">
        <v>1500</v>
      </c>
      <c r="F17" s="829">
        <v>2324.5</v>
      </c>
      <c r="G17" s="755">
        <f t="shared" si="0"/>
        <v>661.34351949420443</v>
      </c>
      <c r="H17" s="145">
        <f t="shared" si="1"/>
        <v>82.667939936775554</v>
      </c>
      <c r="I17" s="771">
        <f t="shared" si="2"/>
        <v>1912.25</v>
      </c>
      <c r="J17" s="759">
        <f t="shared" si="3"/>
        <v>412.25</v>
      </c>
      <c r="K17" s="768">
        <f t="shared" si="4"/>
        <v>21.558373643613542</v>
      </c>
      <c r="M17" s="769"/>
      <c r="N17" s="760" t="s">
        <v>531</v>
      </c>
    </row>
    <row r="18" spans="1:16">
      <c r="A18" s="765" t="s">
        <v>326</v>
      </c>
      <c r="B18" s="770"/>
      <c r="C18" s="754">
        <v>3.5342592592592599</v>
      </c>
      <c r="D18" s="754">
        <f t="shared" si="5"/>
        <v>3534.25925925926</v>
      </c>
      <c r="E18" s="146">
        <v>1200</v>
      </c>
      <c r="F18" s="146">
        <v>1452.2</v>
      </c>
      <c r="G18" s="755">
        <f t="shared" si="0"/>
        <v>410.89232381451393</v>
      </c>
      <c r="H18" s="145">
        <f t="shared" si="1"/>
        <v>51.361540476814241</v>
      </c>
      <c r="I18" s="771">
        <f t="shared" si="2"/>
        <v>1326.1</v>
      </c>
      <c r="J18" s="759">
        <f t="shared" si="3"/>
        <v>126.10000000000002</v>
      </c>
      <c r="K18" s="768">
        <f t="shared" si="4"/>
        <v>9.5090867958675851</v>
      </c>
      <c r="M18" s="769"/>
    </row>
    <row r="19" spans="1:16">
      <c r="A19" s="765" t="s">
        <v>278</v>
      </c>
      <c r="B19" s="770"/>
      <c r="C19" s="754">
        <v>3.9492592592592586</v>
      </c>
      <c r="D19" s="754">
        <f t="shared" si="5"/>
        <v>3949.2592592592587</v>
      </c>
      <c r="E19" s="146">
        <v>438</v>
      </c>
      <c r="F19" s="146">
        <v>947.7</v>
      </c>
      <c r="G19" s="755">
        <f t="shared" si="0"/>
        <v>239.96905186157747</v>
      </c>
      <c r="H19" s="145">
        <f t="shared" si="1"/>
        <v>29.996131482697187</v>
      </c>
      <c r="I19" s="771">
        <f t="shared" si="2"/>
        <v>692.85</v>
      </c>
      <c r="J19" s="759">
        <f t="shared" si="3"/>
        <v>254.84999999999994</v>
      </c>
      <c r="K19" s="768">
        <f t="shared" si="4"/>
        <v>36.782853431478664</v>
      </c>
      <c r="M19" s="769"/>
    </row>
    <row r="20" spans="1:16">
      <c r="A20" s="765" t="s">
        <v>284</v>
      </c>
      <c r="B20" s="770"/>
      <c r="C20" s="754">
        <v>3.492283950617284</v>
      </c>
      <c r="D20" s="754">
        <f t="shared" si="5"/>
        <v>3492.2839506172841</v>
      </c>
      <c r="E20" s="146">
        <v>1800</v>
      </c>
      <c r="F20" s="146">
        <v>1200.9000000000001</v>
      </c>
      <c r="G20" s="755">
        <f>F20/(D20/1000)</f>
        <v>343.87238179407865</v>
      </c>
      <c r="H20" s="145">
        <f t="shared" si="1"/>
        <v>42.984047724259831</v>
      </c>
      <c r="I20" s="767">
        <f t="shared" si="2"/>
        <v>1500.45</v>
      </c>
      <c r="J20" s="759">
        <f t="shared" si="3"/>
        <v>299.55000000000024</v>
      </c>
      <c r="K20" s="768">
        <f t="shared" si="4"/>
        <v>19.964010796760988</v>
      </c>
      <c r="M20" s="769"/>
    </row>
    <row r="21" spans="1:16">
      <c r="A21" s="765" t="s">
        <v>293</v>
      </c>
      <c r="B21" s="770"/>
      <c r="C21" s="754">
        <v>3.837530864197531</v>
      </c>
      <c r="D21" s="754">
        <f t="shared" si="5"/>
        <v>3837.5308641975312</v>
      </c>
      <c r="E21" s="146">
        <v>1350</v>
      </c>
      <c r="F21" s="146">
        <v>1768.2</v>
      </c>
      <c r="G21" s="755">
        <f t="shared" si="0"/>
        <v>460.76502380645991</v>
      </c>
      <c r="H21" s="145">
        <f t="shared" si="1"/>
        <v>57.595627975807481</v>
      </c>
      <c r="I21" s="771">
        <f t="shared" si="2"/>
        <v>1559.1</v>
      </c>
      <c r="J21" s="759">
        <f t="shared" si="3"/>
        <v>209.10000000000124</v>
      </c>
      <c r="K21" s="768">
        <f t="shared" si="4"/>
        <v>13.411583605926577</v>
      </c>
      <c r="M21" s="769"/>
    </row>
    <row r="22" spans="1:16">
      <c r="A22" s="765" t="s">
        <v>297</v>
      </c>
      <c r="B22" s="770"/>
      <c r="C22" s="754">
        <v>3.465740740740741</v>
      </c>
      <c r="D22" s="754">
        <f t="shared" si="5"/>
        <v>3465.7407407407409</v>
      </c>
      <c r="E22" s="146">
        <v>2500</v>
      </c>
      <c r="F22" s="146">
        <v>2724</v>
      </c>
      <c r="G22" s="755">
        <f t="shared" si="0"/>
        <v>785.97916110072129</v>
      </c>
      <c r="H22" s="841">
        <f>(G22/$D$3)*100</f>
        <v>98.247395137590161</v>
      </c>
      <c r="I22" s="771">
        <f t="shared" si="2"/>
        <v>2612</v>
      </c>
      <c r="J22" s="759">
        <f t="shared" si="3"/>
        <v>112</v>
      </c>
      <c r="K22" s="768">
        <f t="shared" si="4"/>
        <v>4.2879019908116387</v>
      </c>
      <c r="M22" s="769"/>
      <c r="N22" s="760" t="s">
        <v>531</v>
      </c>
    </row>
    <row r="23" spans="1:16">
      <c r="A23" s="765" t="s">
        <v>302</v>
      </c>
      <c r="B23" s="770"/>
      <c r="C23" s="754">
        <v>3.5858024691358024</v>
      </c>
      <c r="D23" s="754">
        <f t="shared" si="5"/>
        <v>3585.8024691358023</v>
      </c>
      <c r="E23" s="146">
        <v>1400</v>
      </c>
      <c r="F23" s="146">
        <v>1929.4</v>
      </c>
      <c r="G23" s="755">
        <f t="shared" si="0"/>
        <v>538.06644861421933</v>
      </c>
      <c r="H23" s="145">
        <f t="shared" si="1"/>
        <v>67.258306076777416</v>
      </c>
      <c r="I23" s="771">
        <f t="shared" si="2"/>
        <v>1664.7</v>
      </c>
      <c r="J23" s="759">
        <f t="shared" si="3"/>
        <v>264.6999999999997</v>
      </c>
      <c r="K23" s="768">
        <f t="shared" si="4"/>
        <v>15.900762900222244</v>
      </c>
      <c r="M23" s="769"/>
    </row>
    <row r="24" spans="1:16">
      <c r="A24" s="765" t="s">
        <v>314</v>
      </c>
      <c r="B24" s="770"/>
      <c r="C24" s="754">
        <v>3.495987654320988</v>
      </c>
      <c r="D24" s="754">
        <f t="shared" si="5"/>
        <v>3495.987654320988</v>
      </c>
      <c r="E24" s="146">
        <v>1500</v>
      </c>
      <c r="F24" s="146">
        <v>518.79999999999995</v>
      </c>
      <c r="G24" s="755">
        <f t="shared" si="0"/>
        <v>148.39869338748122</v>
      </c>
      <c r="H24" s="145">
        <f t="shared" si="1"/>
        <v>18.549836673435152</v>
      </c>
      <c r="I24" s="771">
        <f t="shared" si="2"/>
        <v>1009.4</v>
      </c>
      <c r="J24" s="759">
        <f t="shared" si="3"/>
        <v>490.59999999999997</v>
      </c>
      <c r="K24" s="768">
        <f t="shared" si="4"/>
        <v>48.603130572617395</v>
      </c>
      <c r="M24" s="769"/>
    </row>
    <row r="25" spans="1:16">
      <c r="A25" s="765" t="s">
        <v>310</v>
      </c>
      <c r="B25" s="770"/>
      <c r="C25" s="754">
        <v>3.7774691358024688</v>
      </c>
      <c r="D25" s="754">
        <f t="shared" si="5"/>
        <v>3777.4691358024688</v>
      </c>
      <c r="E25" s="146">
        <v>2000</v>
      </c>
      <c r="F25" s="146">
        <v>963.3</v>
      </c>
      <c r="G25" s="755">
        <f t="shared" si="0"/>
        <v>255.01201078519489</v>
      </c>
      <c r="H25" s="145">
        <f t="shared" si="1"/>
        <v>31.876501348149361</v>
      </c>
      <c r="I25" s="771">
        <f t="shared" si="2"/>
        <v>1481.65</v>
      </c>
      <c r="J25" s="759">
        <f t="shared" si="3"/>
        <v>518.34999999999968</v>
      </c>
      <c r="K25" s="768">
        <f t="shared" si="4"/>
        <v>34.984645496574743</v>
      </c>
      <c r="M25" s="769"/>
    </row>
    <row r="26" spans="1:16">
      <c r="A26" s="773" t="s">
        <v>334</v>
      </c>
      <c r="B26" s="774"/>
      <c r="C26" s="775">
        <v>4.1901254540459689</v>
      </c>
      <c r="D26" s="776">
        <f t="shared" si="5"/>
        <v>4190.1254540459686</v>
      </c>
      <c r="E26" s="151">
        <v>1000</v>
      </c>
      <c r="F26" s="151">
        <v>1279.7</v>
      </c>
      <c r="G26" s="756">
        <f t="shared" si="0"/>
        <v>305.40851676990405</v>
      </c>
      <c r="H26" s="145">
        <f t="shared" si="1"/>
        <v>38.176064596238007</v>
      </c>
      <c r="I26" s="771">
        <f t="shared" si="2"/>
        <v>1139.8499999999999</v>
      </c>
      <c r="J26" s="759">
        <f t="shared" si="3"/>
        <v>139.8500000000007</v>
      </c>
      <c r="K26" s="768">
        <f t="shared" si="4"/>
        <v>12.269158222573209</v>
      </c>
      <c r="M26" s="769"/>
    </row>
    <row r="27" spans="1:16">
      <c r="A27" s="773" t="s">
        <v>343</v>
      </c>
      <c r="B27" s="774"/>
      <c r="C27" s="775">
        <v>4.1807453984921095</v>
      </c>
      <c r="D27" s="776">
        <f t="shared" si="5"/>
        <v>4180.7453984921094</v>
      </c>
      <c r="E27" s="151">
        <v>1000</v>
      </c>
      <c r="F27" s="151">
        <v>1126.3</v>
      </c>
      <c r="G27" s="756">
        <f t="shared" si="0"/>
        <v>269.40171970439246</v>
      </c>
      <c r="H27" s="145">
        <f t="shared" si="1"/>
        <v>33.675214963049058</v>
      </c>
      <c r="I27" s="771">
        <f t="shared" si="2"/>
        <v>1063.1500000000001</v>
      </c>
      <c r="J27" s="759">
        <f t="shared" si="3"/>
        <v>63.149999999999977</v>
      </c>
      <c r="K27" s="768">
        <f t="shared" si="4"/>
        <v>5.9398955932841062</v>
      </c>
      <c r="M27" s="769"/>
    </row>
    <row r="28" spans="1:16">
      <c r="A28" s="773" t="s">
        <v>349</v>
      </c>
      <c r="B28" s="774"/>
      <c r="C28" s="775">
        <v>4.2682582340470008</v>
      </c>
      <c r="D28" s="776">
        <f t="shared" si="5"/>
        <v>4268.2582340470008</v>
      </c>
      <c r="E28" s="151">
        <v>1208</v>
      </c>
      <c r="F28" s="151">
        <v>1769.2</v>
      </c>
      <c r="G28" s="756">
        <f t="shared" si="0"/>
        <v>414.50163110738305</v>
      </c>
      <c r="H28" s="145">
        <f t="shared" si="1"/>
        <v>51.812703888422881</v>
      </c>
      <c r="I28" s="771">
        <f t="shared" si="2"/>
        <v>1488.6</v>
      </c>
      <c r="J28" s="759">
        <f t="shared" si="3"/>
        <v>280.60000000000144</v>
      </c>
      <c r="K28" s="768">
        <f t="shared" si="4"/>
        <v>18.849926105065258</v>
      </c>
      <c r="M28" s="769"/>
    </row>
    <row r="29" spans="1:16">
      <c r="A29" s="773" t="s">
        <v>356</v>
      </c>
      <c r="B29" s="774"/>
      <c r="C29" s="775">
        <v>4.2158024691358023</v>
      </c>
      <c r="D29" s="776">
        <f t="shared" si="5"/>
        <v>4215.8024691358023</v>
      </c>
      <c r="E29" s="151">
        <v>800</v>
      </c>
      <c r="F29" s="151">
        <v>1027.2</v>
      </c>
      <c r="G29" s="756">
        <f t="shared" si="0"/>
        <v>243.65467962984658</v>
      </c>
      <c r="H29" s="145">
        <f t="shared" si="1"/>
        <v>30.456834953730823</v>
      </c>
      <c r="I29" s="771">
        <f t="shared" si="2"/>
        <v>913.6</v>
      </c>
      <c r="J29" s="759">
        <f t="shared" si="3"/>
        <v>113.59999999999984</v>
      </c>
      <c r="K29" s="768">
        <f t="shared" si="4"/>
        <v>12.434325744308213</v>
      </c>
      <c r="M29" s="769"/>
    </row>
    <row r="30" spans="1:16">
      <c r="A30" s="773" t="s">
        <v>363</v>
      </c>
      <c r="B30" s="774"/>
      <c r="C30" s="775">
        <v>3.9966049382716049</v>
      </c>
      <c r="D30" s="776">
        <f t="shared" si="5"/>
        <v>3996.6049382716051</v>
      </c>
      <c r="E30" s="151">
        <v>1000</v>
      </c>
      <c r="F30" s="151">
        <v>677.4</v>
      </c>
      <c r="G30" s="756">
        <f t="shared" si="0"/>
        <v>169.49386052977064</v>
      </c>
      <c r="H30" s="145">
        <f t="shared" si="1"/>
        <v>21.18673256622133</v>
      </c>
      <c r="I30" s="771">
        <f t="shared" si="2"/>
        <v>838.7</v>
      </c>
      <c r="J30" s="759">
        <f t="shared" si="3"/>
        <v>161.29999999999984</v>
      </c>
      <c r="K30" s="768">
        <f t="shared" si="4"/>
        <v>19.232144986288283</v>
      </c>
      <c r="M30" s="769"/>
      <c r="P30" s="760" t="s">
        <v>986</v>
      </c>
    </row>
    <row r="31" spans="1:16">
      <c r="A31" s="777" t="s">
        <v>375</v>
      </c>
      <c r="B31" s="778"/>
      <c r="C31" s="779">
        <v>3.6435802469135803</v>
      </c>
      <c r="D31" s="779">
        <f t="shared" si="5"/>
        <v>3643.5802469135801</v>
      </c>
      <c r="E31" s="152">
        <v>1400</v>
      </c>
      <c r="F31" s="152">
        <v>1051.7</v>
      </c>
      <c r="G31" s="757">
        <f t="shared" si="0"/>
        <v>288.64466506285368</v>
      </c>
      <c r="H31" s="145">
        <f t="shared" si="1"/>
        <v>36.080583132856709</v>
      </c>
      <c r="I31" s="771">
        <f t="shared" si="2"/>
        <v>1225.8499999999999</v>
      </c>
      <c r="J31" s="759">
        <f t="shared" si="3"/>
        <v>174.15000000000109</v>
      </c>
      <c r="K31" s="768">
        <f t="shared" si="4"/>
        <v>14.206468980707355</v>
      </c>
      <c r="M31" s="769"/>
    </row>
    <row r="32" spans="1:16">
      <c r="A32" s="777" t="s">
        <v>383</v>
      </c>
      <c r="B32" s="778"/>
      <c r="C32" s="779">
        <v>3.5767722117202267</v>
      </c>
      <c r="D32" s="779">
        <f t="shared" si="5"/>
        <v>3576.7722117202266</v>
      </c>
      <c r="E32" s="152">
        <v>1800</v>
      </c>
      <c r="F32" s="152">
        <v>1395.9</v>
      </c>
      <c r="G32" s="757">
        <f t="shared" si="0"/>
        <v>390.26807338358583</v>
      </c>
      <c r="H32" s="145">
        <f t="shared" si="1"/>
        <v>48.783509172948229</v>
      </c>
      <c r="I32" s="771">
        <f t="shared" si="2"/>
        <v>1597.95</v>
      </c>
      <c r="J32" s="759">
        <f t="shared" si="3"/>
        <v>202.05000000000032</v>
      </c>
      <c r="K32" s="768">
        <f t="shared" si="4"/>
        <v>12.644325542100837</v>
      </c>
      <c r="M32" s="769"/>
    </row>
    <row r="33" spans="1:14" ht="19.149999999999999" hidden="1" customHeight="1">
      <c r="A33" s="777" t="s">
        <v>407</v>
      </c>
      <c r="B33" s="780"/>
      <c r="C33" s="780"/>
      <c r="D33" s="779">
        <f t="shared" si="5"/>
        <v>0</v>
      </c>
      <c r="E33" s="153">
        <v>1800</v>
      </c>
      <c r="F33" s="154"/>
      <c r="G33" s="757" t="e">
        <f t="shared" si="0"/>
        <v>#DIV/0!</v>
      </c>
      <c r="H33" s="145" t="e">
        <f t="shared" si="1"/>
        <v>#DIV/0!</v>
      </c>
      <c r="I33" s="771"/>
      <c r="J33" s="759"/>
      <c r="K33" s="768"/>
      <c r="M33" s="769"/>
    </row>
    <row r="34" spans="1:14">
      <c r="A34" s="777" t="s">
        <v>393</v>
      </c>
      <c r="B34" s="780"/>
      <c r="C34" s="779">
        <v>3.6345699432892249</v>
      </c>
      <c r="D34" s="779">
        <f t="shared" si="5"/>
        <v>3634.5699432892247</v>
      </c>
      <c r="E34" s="153">
        <v>2000</v>
      </c>
      <c r="F34" s="153">
        <v>1270.9000000000001</v>
      </c>
      <c r="G34" s="757">
        <f t="shared" si="0"/>
        <v>349.66998017098467</v>
      </c>
      <c r="H34" s="145">
        <f t="shared" si="1"/>
        <v>43.708747521373084</v>
      </c>
      <c r="I34" s="771">
        <f>AVERAGE(E34:F34)</f>
        <v>1635.45</v>
      </c>
      <c r="J34" s="759">
        <f>_xlfn.STDEV.P(E34:F34)</f>
        <v>364.55000000000018</v>
      </c>
      <c r="K34" s="768">
        <f>(J34/I34)*100</f>
        <v>22.290501085328206</v>
      </c>
      <c r="M34" s="769"/>
    </row>
    <row r="35" spans="1:14">
      <c r="A35" s="777" t="s">
        <v>400</v>
      </c>
      <c r="B35" s="780"/>
      <c r="C35" s="779">
        <v>3.5651234567901233</v>
      </c>
      <c r="D35" s="779">
        <f t="shared" si="5"/>
        <v>3565.1234567901233</v>
      </c>
      <c r="E35" s="153">
        <v>1650</v>
      </c>
      <c r="F35" s="153">
        <v>2101.6999999999998</v>
      </c>
      <c r="G35" s="757">
        <f t="shared" si="0"/>
        <v>589.51675179638119</v>
      </c>
      <c r="H35" s="145">
        <f t="shared" si="1"/>
        <v>73.689593974547648</v>
      </c>
      <c r="I35" s="771">
        <f>AVERAGE(E35:F35)</f>
        <v>1875.85</v>
      </c>
      <c r="J35" s="759">
        <f>_xlfn.STDEV.P(E35:F35)</f>
        <v>225.85000000000034</v>
      </c>
      <c r="K35" s="768">
        <f>(J35/I35)*100</f>
        <v>12.039875256550383</v>
      </c>
      <c r="M35" s="769"/>
      <c r="N35" s="760" t="s">
        <v>531</v>
      </c>
    </row>
    <row r="36" spans="1:14">
      <c r="A36" s="777" t="s">
        <v>404</v>
      </c>
      <c r="B36" s="780"/>
      <c r="C36" s="779">
        <v>3.7024691358024691</v>
      </c>
      <c r="D36" s="779">
        <f t="shared" si="5"/>
        <v>3702.4691358024693</v>
      </c>
      <c r="E36" s="153">
        <v>1800</v>
      </c>
      <c r="F36" s="153">
        <v>1223.3</v>
      </c>
      <c r="G36" s="757">
        <f t="shared" si="0"/>
        <v>330.40113371123704</v>
      </c>
      <c r="H36" s="145">
        <f t="shared" si="1"/>
        <v>41.30014171390463</v>
      </c>
      <c r="I36" s="781">
        <f>AVERAGE(E36:F36)</f>
        <v>1511.65</v>
      </c>
      <c r="J36" s="782">
        <f>_xlfn.STDEV.P(E36:F36)</f>
        <v>288.34999999999945</v>
      </c>
      <c r="K36" s="830">
        <f>(J36/I36)*100</f>
        <v>19.075182747329038</v>
      </c>
      <c r="N36" s="769" t="e">
        <f>(F36/$D$4)*100</f>
        <v>#VALUE!</v>
      </c>
    </row>
    <row r="37" spans="1:14">
      <c r="A37" s="814"/>
      <c r="C37" s="842"/>
      <c r="D37" s="842"/>
      <c r="E37" s="843"/>
      <c r="F37" s="843"/>
      <c r="G37" s="844"/>
      <c r="H37" s="145"/>
      <c r="I37" s="759"/>
      <c r="J37" s="759"/>
      <c r="K37" s="759"/>
      <c r="N37" s="769"/>
    </row>
    <row r="38" spans="1:14">
      <c r="A38" s="814"/>
      <c r="C38" s="842"/>
      <c r="D38" s="842"/>
      <c r="E38" s="843"/>
      <c r="F38" s="843"/>
      <c r="G38" s="844"/>
      <c r="H38" s="145"/>
      <c r="I38" s="759"/>
      <c r="J38" s="759"/>
      <c r="K38" s="759"/>
      <c r="N38" s="769"/>
    </row>
    <row r="39" spans="1:14">
      <c r="G39" s="759"/>
      <c r="H39" s="845"/>
    </row>
    <row r="40" spans="1:14">
      <c r="F40" s="783"/>
      <c r="G40" s="783"/>
      <c r="H40" s="760"/>
    </row>
    <row r="41" spans="1:14" ht="36">
      <c r="A41" s="833"/>
      <c r="B41" s="832"/>
      <c r="C41" s="832"/>
      <c r="D41" s="832"/>
      <c r="E41" s="831"/>
      <c r="F41" s="831"/>
      <c r="G41" s="831"/>
      <c r="H41" s="831"/>
      <c r="I41" s="831"/>
    </row>
    <row r="42" spans="1:14">
      <c r="H42" s="760"/>
    </row>
    <row r="43" spans="1:14">
      <c r="A43" s="984"/>
      <c r="B43" s="984"/>
      <c r="C43" s="784"/>
      <c r="D43" s="784"/>
      <c r="H43" s="760"/>
    </row>
    <row r="44" spans="1:14">
      <c r="A44" s="985"/>
      <c r="B44" s="985"/>
      <c r="C44" s="784"/>
      <c r="D44" s="784"/>
      <c r="H44" s="760"/>
    </row>
    <row r="45" spans="1:14">
      <c r="A45" s="785"/>
      <c r="B45" s="785"/>
      <c r="C45" s="785"/>
      <c r="D45" s="785"/>
      <c r="E45" s="785"/>
      <c r="F45" s="785"/>
      <c r="G45" s="785"/>
      <c r="H45" s="785"/>
      <c r="I45" s="785"/>
      <c r="J45" s="786"/>
    </row>
    <row r="46" spans="1:14">
      <c r="A46" s="787"/>
      <c r="B46" s="787"/>
      <c r="C46" s="787"/>
      <c r="D46" s="787"/>
      <c r="E46" s="787"/>
      <c r="F46" s="787"/>
      <c r="G46" s="787"/>
      <c r="H46" s="787"/>
      <c r="I46" s="788"/>
      <c r="J46" s="145"/>
    </row>
    <row r="47" spans="1:14">
      <c r="A47" s="787"/>
      <c r="B47" s="787"/>
      <c r="C47" s="787"/>
      <c r="D47" s="787"/>
      <c r="E47" s="787"/>
      <c r="F47" s="787"/>
      <c r="G47" s="787"/>
      <c r="H47" s="787"/>
      <c r="I47" s="788"/>
      <c r="J47" s="145"/>
    </row>
    <row r="48" spans="1:14">
      <c r="A48" s="789"/>
      <c r="B48" s="789"/>
      <c r="C48" s="789"/>
      <c r="D48" s="789"/>
      <c r="E48" s="789"/>
      <c r="F48" s="789"/>
      <c r="G48" s="789"/>
      <c r="H48" s="789"/>
      <c r="I48" s="789"/>
      <c r="J48" s="790"/>
    </row>
    <row r="49" spans="1:12">
      <c r="A49" s="789"/>
      <c r="B49" s="789"/>
      <c r="C49" s="789"/>
      <c r="D49" s="789"/>
      <c r="E49" s="789"/>
      <c r="F49" s="789"/>
      <c r="G49" s="789"/>
      <c r="H49" s="789"/>
      <c r="I49" s="789"/>
      <c r="J49" s="790"/>
    </row>
    <row r="50" spans="1:12">
      <c r="A50" s="789"/>
      <c r="B50" s="789"/>
      <c r="C50" s="789"/>
      <c r="D50" s="789"/>
      <c r="E50" s="789"/>
      <c r="F50" s="789"/>
      <c r="G50" s="789"/>
      <c r="H50" s="789"/>
      <c r="I50" s="789"/>
      <c r="J50" s="790"/>
    </row>
    <row r="51" spans="1:12">
      <c r="A51" s="789"/>
      <c r="B51" s="789"/>
      <c r="C51" s="789"/>
      <c r="D51" s="789"/>
      <c r="E51" s="789"/>
      <c r="F51" s="789"/>
      <c r="G51" s="789"/>
      <c r="H51" s="789"/>
      <c r="I51" s="789"/>
      <c r="J51" s="790"/>
    </row>
    <row r="52" spans="1:12">
      <c r="A52" s="787"/>
      <c r="B52" s="787"/>
      <c r="C52" s="787"/>
      <c r="D52" s="787"/>
      <c r="E52" s="787"/>
      <c r="F52" s="787"/>
      <c r="G52" s="787"/>
      <c r="H52" s="787"/>
      <c r="I52" s="788"/>
      <c r="J52" s="145"/>
    </row>
    <row r="53" spans="1:12">
      <c r="A53" s="787"/>
      <c r="B53" s="787"/>
      <c r="C53" s="787"/>
      <c r="D53" s="787"/>
      <c r="E53" s="787"/>
      <c r="F53" s="787"/>
      <c r="G53" s="787"/>
      <c r="H53" s="787"/>
      <c r="I53" s="788"/>
      <c r="J53" s="145"/>
    </row>
    <row r="54" spans="1:12">
      <c r="A54" s="787"/>
      <c r="B54" s="787"/>
      <c r="C54" s="787"/>
      <c r="D54" s="787"/>
      <c r="E54" s="787"/>
      <c r="F54" s="787"/>
      <c r="G54" s="787"/>
      <c r="H54" s="787"/>
      <c r="I54" s="788"/>
      <c r="J54" s="145"/>
    </row>
    <row r="55" spans="1:12">
      <c r="A55" s="787"/>
      <c r="B55" s="787"/>
      <c r="C55" s="787"/>
      <c r="D55" s="787"/>
      <c r="E55" s="787"/>
      <c r="F55" s="787"/>
      <c r="G55" s="787"/>
      <c r="H55" s="787"/>
      <c r="I55" s="788"/>
      <c r="J55" s="145"/>
    </row>
    <row r="56" spans="1:12">
      <c r="A56" s="787"/>
      <c r="B56" s="787"/>
      <c r="C56" s="787"/>
      <c r="D56" s="787"/>
      <c r="E56" s="787"/>
      <c r="F56" s="787"/>
      <c r="G56" s="787"/>
      <c r="H56" s="787"/>
      <c r="I56" s="788"/>
      <c r="J56" s="145"/>
    </row>
    <row r="57" spans="1:12">
      <c r="A57" s="787"/>
      <c r="B57" s="787"/>
      <c r="C57" s="787"/>
      <c r="D57" s="787"/>
      <c r="E57" s="787"/>
      <c r="F57" s="787"/>
      <c r="G57" s="787"/>
      <c r="H57" s="787"/>
      <c r="I57" s="788"/>
      <c r="J57" s="145"/>
    </row>
    <row r="58" spans="1:12">
      <c r="A58" s="787"/>
      <c r="B58" s="787"/>
      <c r="C58" s="787"/>
      <c r="D58" s="787"/>
      <c r="E58" s="787"/>
      <c r="F58" s="787"/>
      <c r="G58" s="787"/>
      <c r="H58" s="787"/>
      <c r="I58" s="788"/>
      <c r="J58" s="145"/>
    </row>
    <row r="59" spans="1:12">
      <c r="A59" s="787"/>
      <c r="B59" s="787"/>
      <c r="C59" s="787"/>
      <c r="D59" s="787"/>
      <c r="E59" s="787"/>
      <c r="F59" s="787"/>
      <c r="G59" s="787"/>
      <c r="H59" s="787"/>
      <c r="I59" s="788"/>
      <c r="J59" s="145"/>
    </row>
    <row r="60" spans="1:12">
      <c r="A60" s="787"/>
      <c r="B60" s="787"/>
      <c r="C60" s="787"/>
      <c r="D60" s="787"/>
      <c r="E60" s="787"/>
      <c r="F60" s="787"/>
      <c r="G60" s="787"/>
      <c r="H60" s="787"/>
      <c r="I60" s="788"/>
      <c r="J60" s="145"/>
    </row>
    <row r="61" spans="1:12">
      <c r="A61" s="791"/>
      <c r="B61" s="791"/>
      <c r="C61" s="791"/>
      <c r="D61" s="791"/>
      <c r="E61" s="791"/>
      <c r="F61" s="791"/>
      <c r="G61" s="791"/>
      <c r="H61" s="791"/>
      <c r="I61" s="791"/>
      <c r="J61" s="792"/>
      <c r="K61" s="793"/>
      <c r="L61" s="986"/>
    </row>
    <row r="62" spans="1:12">
      <c r="A62" s="791"/>
      <c r="B62" s="791"/>
      <c r="C62" s="791"/>
      <c r="D62" s="791"/>
      <c r="E62" s="791"/>
      <c r="F62" s="791"/>
      <c r="G62" s="791"/>
      <c r="H62" s="791"/>
      <c r="I62" s="791"/>
      <c r="J62" s="792"/>
      <c r="L62" s="986"/>
    </row>
    <row r="63" spans="1:12">
      <c r="A63" s="791"/>
      <c r="B63" s="791"/>
      <c r="C63" s="791"/>
      <c r="D63" s="791"/>
      <c r="E63" s="791"/>
      <c r="F63" s="791"/>
      <c r="G63" s="791"/>
      <c r="H63" s="791"/>
      <c r="I63" s="791"/>
      <c r="J63" s="792"/>
      <c r="L63" s="986"/>
    </row>
    <row r="64" spans="1:12">
      <c r="A64" s="791"/>
      <c r="B64" s="791"/>
      <c r="C64" s="791"/>
      <c r="D64" s="791"/>
      <c r="E64" s="791"/>
      <c r="F64" s="791"/>
      <c r="G64" s="791"/>
      <c r="H64" s="791"/>
      <c r="I64" s="794"/>
      <c r="J64" s="792"/>
      <c r="L64" s="986"/>
    </row>
    <row r="65" spans="1:10">
      <c r="A65" s="787"/>
      <c r="B65" s="787"/>
      <c r="C65" s="787"/>
      <c r="D65" s="787"/>
      <c r="E65" s="787"/>
      <c r="F65" s="787"/>
      <c r="G65" s="787"/>
      <c r="H65" s="787"/>
      <c r="I65" s="788"/>
      <c r="J65" s="145"/>
    </row>
    <row r="66" spans="1:10">
      <c r="A66" s="787"/>
      <c r="B66" s="787"/>
      <c r="C66" s="787"/>
      <c r="D66" s="787"/>
      <c r="E66" s="787"/>
      <c r="F66" s="787"/>
      <c r="G66" s="787"/>
      <c r="H66" s="787"/>
      <c r="I66" s="788"/>
      <c r="J66" s="145"/>
    </row>
    <row r="67" spans="1:10">
      <c r="A67" s="787"/>
      <c r="B67" s="787"/>
      <c r="C67" s="787"/>
      <c r="D67" s="787"/>
      <c r="E67" s="787"/>
      <c r="F67" s="787"/>
      <c r="G67" s="787"/>
      <c r="H67" s="787"/>
      <c r="I67" s="788"/>
      <c r="J67" s="145"/>
    </row>
    <row r="68" spans="1:10">
      <c r="A68" s="787"/>
      <c r="B68" s="787"/>
      <c r="C68" s="787"/>
      <c r="D68" s="787"/>
      <c r="E68" s="787"/>
      <c r="F68" s="787"/>
      <c r="G68" s="787"/>
      <c r="H68" s="787"/>
      <c r="I68" s="788"/>
      <c r="J68" s="145"/>
    </row>
    <row r="69" spans="1:10">
      <c r="A69" s="787"/>
      <c r="B69" s="787"/>
      <c r="C69" s="787"/>
      <c r="D69" s="787"/>
      <c r="E69" s="787"/>
      <c r="F69" s="787"/>
      <c r="G69" s="787"/>
      <c r="H69" s="787"/>
      <c r="I69" s="788"/>
      <c r="J69" s="145"/>
    </row>
    <row r="70" spans="1:10">
      <c r="A70" s="787"/>
      <c r="B70" s="787"/>
      <c r="C70" s="787"/>
      <c r="D70" s="787"/>
      <c r="E70" s="787"/>
      <c r="F70" s="787"/>
      <c r="G70" s="787"/>
      <c r="H70" s="787"/>
      <c r="I70" s="788"/>
      <c r="J70" s="145"/>
    </row>
    <row r="71" spans="1:10">
      <c r="A71" s="787"/>
      <c r="B71" s="787"/>
      <c r="C71" s="787"/>
      <c r="D71" s="787"/>
      <c r="E71" s="787"/>
      <c r="F71" s="787"/>
      <c r="G71" s="787"/>
      <c r="H71" s="787"/>
      <c r="I71" s="788"/>
      <c r="J71" s="145"/>
    </row>
    <row r="72" spans="1:10">
      <c r="A72" s="787"/>
      <c r="B72" s="787"/>
      <c r="C72" s="787"/>
      <c r="D72" s="787"/>
      <c r="E72" s="787"/>
      <c r="F72" s="787"/>
      <c r="G72" s="787"/>
      <c r="H72" s="787"/>
      <c r="I72" s="788"/>
      <c r="J72" s="145"/>
    </row>
    <row r="73" spans="1:10">
      <c r="A73" s="787"/>
      <c r="B73" s="787"/>
      <c r="C73" s="787"/>
      <c r="D73" s="787"/>
      <c r="E73" s="787"/>
      <c r="F73" s="787"/>
      <c r="G73" s="787"/>
      <c r="H73" s="787"/>
      <c r="I73" s="788"/>
      <c r="J73" s="145"/>
    </row>
    <row r="74" spans="1:10">
      <c r="A74" s="787"/>
      <c r="B74" s="787"/>
      <c r="C74" s="787"/>
      <c r="D74" s="787"/>
      <c r="E74" s="787"/>
      <c r="F74" s="787"/>
      <c r="G74" s="787"/>
      <c r="H74" s="787"/>
      <c r="I74" s="788"/>
      <c r="J74" s="145"/>
    </row>
    <row r="75" spans="1:10">
      <c r="A75" s="787"/>
      <c r="B75" s="787"/>
      <c r="C75" s="787"/>
      <c r="D75" s="787"/>
      <c r="E75" s="787"/>
      <c r="F75" s="787"/>
      <c r="G75" s="787"/>
      <c r="H75" s="787"/>
      <c r="I75" s="788"/>
      <c r="J75" s="145"/>
    </row>
    <row r="76" spans="1:10">
      <c r="A76" s="795"/>
      <c r="B76" s="795"/>
      <c r="C76" s="795"/>
      <c r="D76" s="795"/>
      <c r="E76" s="795"/>
      <c r="F76" s="795"/>
      <c r="G76" s="795"/>
      <c r="H76" s="795"/>
      <c r="I76" s="795"/>
      <c r="J76" s="790"/>
    </row>
    <row r="77" spans="1:10">
      <c r="A77" s="795"/>
      <c r="B77" s="795"/>
      <c r="C77" s="795"/>
      <c r="D77" s="795"/>
      <c r="E77" s="795"/>
      <c r="F77" s="795"/>
      <c r="G77" s="795"/>
      <c r="H77" s="795"/>
      <c r="I77" s="795"/>
      <c r="J77" s="790"/>
    </row>
    <row r="78" spans="1:10">
      <c r="A78" s="795"/>
      <c r="B78" s="795"/>
      <c r="C78" s="795"/>
      <c r="D78" s="795"/>
      <c r="E78" s="795"/>
      <c r="F78" s="795"/>
      <c r="G78" s="795"/>
      <c r="H78" s="795"/>
      <c r="I78" s="795"/>
      <c r="J78" s="790"/>
    </row>
    <row r="79" spans="1:10">
      <c r="A79" s="795"/>
      <c r="B79" s="795"/>
      <c r="C79" s="795"/>
      <c r="D79" s="795"/>
      <c r="E79" s="795"/>
      <c r="F79" s="795"/>
      <c r="G79" s="795"/>
      <c r="H79" s="795"/>
      <c r="I79" s="795"/>
      <c r="J79" s="790"/>
    </row>
    <row r="80" spans="1:10">
      <c r="A80" s="787"/>
      <c r="B80" s="787"/>
      <c r="C80" s="787"/>
      <c r="D80" s="787"/>
      <c r="E80" s="787"/>
      <c r="F80" s="787"/>
      <c r="G80" s="787"/>
      <c r="H80" s="787"/>
      <c r="I80" s="788"/>
      <c r="J80" s="145"/>
    </row>
    <row r="81" spans="1:12">
      <c r="A81" s="787"/>
      <c r="B81" s="787"/>
      <c r="C81" s="787"/>
      <c r="D81" s="787"/>
      <c r="E81" s="787"/>
      <c r="F81" s="787"/>
      <c r="G81" s="787"/>
      <c r="H81" s="787"/>
      <c r="I81" s="788"/>
      <c r="J81" s="145"/>
    </row>
    <row r="82" spans="1:12">
      <c r="A82" s="787"/>
      <c r="B82" s="787"/>
      <c r="C82" s="787"/>
      <c r="D82" s="787"/>
      <c r="E82" s="787"/>
      <c r="F82" s="787"/>
      <c r="G82" s="787"/>
      <c r="H82" s="787"/>
      <c r="I82" s="788"/>
      <c r="J82" s="145"/>
    </row>
    <row r="83" spans="1:12">
      <c r="A83" s="796"/>
      <c r="B83" s="796"/>
      <c r="C83" s="796"/>
      <c r="D83" s="796"/>
      <c r="E83" s="796"/>
      <c r="F83" s="796"/>
      <c r="G83" s="796"/>
      <c r="H83" s="796"/>
      <c r="I83" s="796"/>
      <c r="J83" s="797"/>
      <c r="L83" s="986"/>
    </row>
    <row r="84" spans="1:12">
      <c r="A84" s="796"/>
      <c r="B84" s="796"/>
      <c r="C84" s="796"/>
      <c r="D84" s="796"/>
      <c r="E84" s="796"/>
      <c r="F84" s="796"/>
      <c r="G84" s="796"/>
      <c r="H84" s="796"/>
      <c r="I84" s="798"/>
      <c r="J84" s="797"/>
      <c r="L84" s="986"/>
    </row>
    <row r="85" spans="1:12">
      <c r="A85" s="796"/>
      <c r="B85" s="796"/>
      <c r="C85" s="796"/>
      <c r="D85" s="796"/>
      <c r="E85" s="796"/>
      <c r="F85" s="796"/>
      <c r="G85" s="796"/>
      <c r="H85" s="796"/>
      <c r="I85" s="796"/>
      <c r="J85" s="797"/>
      <c r="L85" s="986"/>
    </row>
    <row r="86" spans="1:12">
      <c r="A86" s="796"/>
      <c r="B86" s="796"/>
      <c r="C86" s="796"/>
      <c r="D86" s="796"/>
      <c r="E86" s="796"/>
      <c r="F86" s="796"/>
      <c r="G86" s="796"/>
      <c r="H86" s="796"/>
      <c r="I86" s="796"/>
      <c r="J86" s="797"/>
      <c r="L86" s="986"/>
    </row>
    <row r="87" spans="1:12">
      <c r="A87" s="787"/>
      <c r="B87" s="787"/>
      <c r="C87" s="787"/>
      <c r="D87" s="787"/>
      <c r="E87" s="787"/>
      <c r="F87" s="787"/>
      <c r="G87" s="787"/>
      <c r="H87" s="787"/>
      <c r="I87" s="788"/>
      <c r="J87" s="145"/>
    </row>
    <row r="88" spans="1:12" ht="19.149999999999999" hidden="1" customHeight="1">
      <c r="A88" s="787"/>
      <c r="B88" s="787"/>
      <c r="C88" s="787"/>
      <c r="D88" s="787"/>
      <c r="E88" s="787"/>
      <c r="F88" s="787"/>
      <c r="G88" s="787"/>
      <c r="H88" s="787"/>
      <c r="I88" s="788"/>
      <c r="J88" s="144"/>
    </row>
    <row r="90" spans="1:12">
      <c r="F90" s="799"/>
      <c r="G90" s="800"/>
      <c r="H90" s="801"/>
      <c r="I90" s="802"/>
      <c r="J90" s="803"/>
    </row>
    <row r="91" spans="1:12">
      <c r="F91" s="804"/>
      <c r="J91" s="805"/>
    </row>
    <row r="92" spans="1:12">
      <c r="F92" s="804"/>
      <c r="J92" s="806"/>
    </row>
    <row r="93" spans="1:12">
      <c r="F93" s="804"/>
      <c r="J93" s="806"/>
    </row>
    <row r="94" spans="1:12">
      <c r="F94" s="804"/>
      <c r="J94" s="807"/>
    </row>
    <row r="95" spans="1:12">
      <c r="F95" s="804"/>
      <c r="J95" s="805"/>
    </row>
    <row r="96" spans="1:12">
      <c r="F96" s="808"/>
      <c r="G96" s="809"/>
      <c r="H96" s="810"/>
      <c r="I96" s="809"/>
      <c r="J96" s="811"/>
    </row>
    <row r="97" spans="1:14">
      <c r="J97" s="761"/>
    </row>
    <row r="98" spans="1:14">
      <c r="H98" s="801"/>
      <c r="I98" s="802"/>
      <c r="J98" s="803"/>
    </row>
    <row r="99" spans="1:14">
      <c r="J99" s="805"/>
    </row>
    <row r="100" spans="1:14">
      <c r="J100" s="806"/>
    </row>
    <row r="101" spans="1:14">
      <c r="J101" s="806"/>
    </row>
    <row r="102" spans="1:14">
      <c r="J102" s="807"/>
    </row>
    <row r="103" spans="1:14">
      <c r="J103" s="805"/>
    </row>
    <row r="104" spans="1:14">
      <c r="H104" s="810"/>
      <c r="I104" s="809"/>
      <c r="J104" s="811"/>
    </row>
    <row r="108" spans="1:14">
      <c r="A108" s="785" t="s">
        <v>550</v>
      </c>
      <c r="B108" s="785" t="s">
        <v>881</v>
      </c>
      <c r="C108" s="785"/>
      <c r="D108" s="785"/>
      <c r="E108" s="785" t="s">
        <v>893</v>
      </c>
      <c r="F108" s="785" t="s">
        <v>885</v>
      </c>
      <c r="G108" s="785"/>
      <c r="H108" s="787" t="s">
        <v>894</v>
      </c>
    </row>
    <row r="109" spans="1:14">
      <c r="A109" s="787">
        <v>265</v>
      </c>
      <c r="B109" s="787">
        <v>7404</v>
      </c>
      <c r="C109" s="812"/>
      <c r="D109" s="812"/>
      <c r="E109" s="813" t="s">
        <v>198</v>
      </c>
      <c r="F109" s="788">
        <v>1726.5</v>
      </c>
      <c r="G109" s="788"/>
      <c r="H109" s="787" t="s">
        <v>211</v>
      </c>
      <c r="I109" s="814"/>
    </row>
    <row r="110" spans="1:14">
      <c r="A110" s="787">
        <v>266</v>
      </c>
      <c r="B110" s="787">
        <v>7480.74</v>
      </c>
      <c r="C110" s="812"/>
      <c r="D110" s="812"/>
      <c r="E110" s="813" t="s">
        <v>213</v>
      </c>
      <c r="F110" s="788">
        <v>1748.7</v>
      </c>
      <c r="G110" s="788"/>
      <c r="H110" s="787" t="s">
        <v>211</v>
      </c>
      <c r="J110" s="812"/>
      <c r="K110" s="812"/>
      <c r="L110" s="812"/>
      <c r="M110" s="812"/>
      <c r="N110" s="815"/>
    </row>
    <row r="111" spans="1:14">
      <c r="A111" s="789">
        <v>267</v>
      </c>
      <c r="B111" s="789">
        <v>3377.21</v>
      </c>
      <c r="C111" s="816"/>
      <c r="D111" s="816"/>
      <c r="E111" s="813" t="s">
        <v>223</v>
      </c>
      <c r="F111" s="789">
        <v>2394</v>
      </c>
      <c r="G111" s="789"/>
      <c r="H111" s="787" t="s">
        <v>199</v>
      </c>
    </row>
    <row r="112" spans="1:14">
      <c r="A112" s="787">
        <v>268</v>
      </c>
      <c r="B112" s="789"/>
      <c r="C112" s="816"/>
      <c r="D112" s="816"/>
      <c r="E112" s="813" t="s">
        <v>232</v>
      </c>
      <c r="F112" s="788">
        <v>1540.1</v>
      </c>
      <c r="G112" s="788"/>
      <c r="H112" s="787" t="s">
        <v>211</v>
      </c>
    </row>
    <row r="113" spans="1:11">
      <c r="A113" s="787">
        <v>269</v>
      </c>
      <c r="B113" s="787">
        <v>5463.85</v>
      </c>
      <c r="C113" s="812"/>
      <c r="D113" s="812"/>
      <c r="E113" s="813" t="s">
        <v>241</v>
      </c>
      <c r="F113" s="788">
        <v>955.7</v>
      </c>
      <c r="G113" s="788"/>
      <c r="H113" s="787" t="s">
        <v>211</v>
      </c>
    </row>
    <row r="114" spans="1:11">
      <c r="A114" s="787">
        <v>270</v>
      </c>
      <c r="B114" s="787">
        <v>4031.87</v>
      </c>
      <c r="C114" s="812"/>
      <c r="D114" s="812"/>
      <c r="E114" s="813" t="s">
        <v>248</v>
      </c>
      <c r="F114" s="788">
        <v>1311.2</v>
      </c>
      <c r="G114" s="788"/>
      <c r="H114" s="787" t="s">
        <v>211</v>
      </c>
      <c r="I114" s="817"/>
    </row>
    <row r="115" spans="1:11">
      <c r="A115" s="787">
        <v>271</v>
      </c>
      <c r="B115" s="787">
        <v>13177.57</v>
      </c>
      <c r="C115" s="812"/>
      <c r="D115" s="812"/>
      <c r="E115" s="818" t="s">
        <v>255</v>
      </c>
      <c r="F115" s="788">
        <v>1596.9</v>
      </c>
      <c r="G115" s="788"/>
      <c r="H115" s="787" t="s">
        <v>211</v>
      </c>
    </row>
    <row r="116" spans="1:11">
      <c r="A116" s="787">
        <v>272</v>
      </c>
      <c r="B116" s="787">
        <v>8667.58</v>
      </c>
      <c r="C116" s="812"/>
      <c r="D116" s="812"/>
      <c r="E116" s="818" t="s">
        <v>263</v>
      </c>
      <c r="F116" s="788">
        <v>801.3</v>
      </c>
      <c r="G116" s="788"/>
      <c r="H116" s="787" t="s">
        <v>211</v>
      </c>
    </row>
    <row r="117" spans="1:11">
      <c r="A117" s="787">
        <v>273</v>
      </c>
      <c r="B117" s="787">
        <v>7441.82</v>
      </c>
      <c r="C117" s="812"/>
      <c r="D117" s="812"/>
      <c r="E117" s="818" t="s">
        <v>270</v>
      </c>
      <c r="F117" s="788">
        <v>963.7</v>
      </c>
      <c r="G117" s="788"/>
      <c r="H117" s="787" t="s">
        <v>211</v>
      </c>
    </row>
    <row r="118" spans="1:11">
      <c r="A118" s="787">
        <v>274</v>
      </c>
      <c r="B118" s="787">
        <v>2725.54</v>
      </c>
      <c r="C118" s="812"/>
      <c r="D118" s="812"/>
      <c r="E118" s="819" t="s">
        <v>278</v>
      </c>
      <c r="F118" s="788">
        <v>947.7</v>
      </c>
      <c r="G118" s="788"/>
      <c r="H118" s="787" t="s">
        <v>211</v>
      </c>
      <c r="J118" s="758" t="s">
        <v>871</v>
      </c>
      <c r="K118" s="758" t="s">
        <v>438</v>
      </c>
    </row>
    <row r="119" spans="1:11">
      <c r="A119" s="787">
        <v>275</v>
      </c>
      <c r="B119" s="787">
        <v>8144.45</v>
      </c>
      <c r="C119" s="812"/>
      <c r="D119" s="812"/>
      <c r="E119" s="819" t="s">
        <v>284</v>
      </c>
      <c r="F119" s="788">
        <v>1200.9000000000001</v>
      </c>
      <c r="G119" s="788"/>
      <c r="H119" s="787" t="s">
        <v>211</v>
      </c>
      <c r="J119" s="762" t="s">
        <v>442</v>
      </c>
      <c r="K119" s="762">
        <v>552</v>
      </c>
    </row>
    <row r="120" spans="1:11">
      <c r="A120" s="787">
        <v>276</v>
      </c>
      <c r="B120" s="787">
        <v>2848.11</v>
      </c>
      <c r="C120" s="812"/>
      <c r="D120" s="812"/>
      <c r="E120" s="819" t="s">
        <v>293</v>
      </c>
      <c r="F120" s="788">
        <v>1768.2</v>
      </c>
      <c r="G120" s="788"/>
      <c r="H120" s="787" t="s">
        <v>211</v>
      </c>
      <c r="J120" s="762" t="s">
        <v>445</v>
      </c>
      <c r="K120" s="762">
        <v>2270</v>
      </c>
    </row>
    <row r="121" spans="1:11">
      <c r="A121" s="791">
        <v>277</v>
      </c>
      <c r="B121" s="791">
        <v>5851.62</v>
      </c>
      <c r="C121" s="820"/>
      <c r="D121" s="820"/>
      <c r="E121" s="819" t="s">
        <v>297</v>
      </c>
      <c r="F121" s="791">
        <v>2724</v>
      </c>
      <c r="G121" s="791"/>
      <c r="H121" s="787" t="s">
        <v>199</v>
      </c>
      <c r="J121" s="762" t="s">
        <v>447</v>
      </c>
      <c r="K121" s="762">
        <v>3200</v>
      </c>
    </row>
    <row r="122" spans="1:11">
      <c r="A122" s="787">
        <v>278</v>
      </c>
      <c r="B122" s="787">
        <v>7320.4</v>
      </c>
      <c r="C122" s="812"/>
      <c r="D122" s="812"/>
      <c r="E122" s="819" t="s">
        <v>302</v>
      </c>
      <c r="F122" s="788">
        <v>1929.4</v>
      </c>
      <c r="G122" s="788"/>
      <c r="H122" s="787" t="s">
        <v>211</v>
      </c>
    </row>
    <row r="123" spans="1:11">
      <c r="A123" s="787">
        <v>279</v>
      </c>
      <c r="B123" s="787">
        <v>3332.09</v>
      </c>
      <c r="C123" s="812"/>
      <c r="D123" s="812"/>
      <c r="E123" s="773" t="s">
        <v>334</v>
      </c>
      <c r="F123" s="788">
        <v>1279.7</v>
      </c>
      <c r="G123" s="788"/>
      <c r="H123" s="787" t="s">
        <v>211</v>
      </c>
    </row>
    <row r="124" spans="1:11">
      <c r="A124" s="787">
        <v>280</v>
      </c>
      <c r="B124" s="787">
        <v>5039.7299999999996</v>
      </c>
      <c r="C124" s="812"/>
      <c r="D124" s="812"/>
      <c r="E124" s="773" t="s">
        <v>343</v>
      </c>
      <c r="F124" s="788">
        <v>1126.3</v>
      </c>
      <c r="G124" s="788"/>
      <c r="H124" s="787" t="s">
        <v>211</v>
      </c>
    </row>
    <row r="125" spans="1:11">
      <c r="A125" s="787">
        <v>281</v>
      </c>
      <c r="B125" s="787">
        <v>19991.7</v>
      </c>
      <c r="C125" s="812"/>
      <c r="D125" s="812"/>
      <c r="E125" s="773" t="s">
        <v>349</v>
      </c>
      <c r="F125" s="788">
        <v>1769.2</v>
      </c>
      <c r="G125" s="788"/>
      <c r="H125" s="787" t="s">
        <v>211</v>
      </c>
    </row>
    <row r="126" spans="1:11">
      <c r="A126" s="787">
        <v>282</v>
      </c>
      <c r="B126" s="787">
        <v>11222.59</v>
      </c>
      <c r="C126" s="812"/>
      <c r="D126" s="812"/>
      <c r="E126" s="773" t="s">
        <v>356</v>
      </c>
      <c r="F126" s="788">
        <v>1027.2</v>
      </c>
      <c r="G126" s="788"/>
      <c r="H126" s="787" t="s">
        <v>211</v>
      </c>
    </row>
    <row r="127" spans="1:11">
      <c r="A127" s="787">
        <v>283</v>
      </c>
      <c r="B127" s="787">
        <v>19209.810000000001</v>
      </c>
      <c r="C127" s="812"/>
      <c r="D127" s="812"/>
      <c r="E127" s="773" t="s">
        <v>363</v>
      </c>
      <c r="F127" s="788">
        <v>677.4</v>
      </c>
      <c r="G127" s="788"/>
      <c r="H127" s="787" t="s">
        <v>211</v>
      </c>
    </row>
    <row r="128" spans="1:11">
      <c r="A128" s="787">
        <v>284</v>
      </c>
      <c r="B128" s="787">
        <v>4742.42</v>
      </c>
      <c r="C128" s="812"/>
      <c r="D128" s="812"/>
      <c r="E128" s="777" t="s">
        <v>375</v>
      </c>
      <c r="F128" s="788">
        <v>1051.7</v>
      </c>
      <c r="G128" s="788"/>
      <c r="H128" s="787" t="s">
        <v>211</v>
      </c>
    </row>
    <row r="129" spans="1:9">
      <c r="A129" s="787">
        <v>285</v>
      </c>
      <c r="B129" s="787">
        <v>6721.21</v>
      </c>
      <c r="C129" s="812"/>
      <c r="D129" s="812"/>
      <c r="E129" s="777" t="s">
        <v>383</v>
      </c>
      <c r="F129" s="788">
        <v>1395.9</v>
      </c>
      <c r="G129" s="788"/>
      <c r="H129" s="787" t="s">
        <v>211</v>
      </c>
    </row>
    <row r="130" spans="1:9">
      <c r="A130" s="787">
        <v>286</v>
      </c>
      <c r="B130" s="787">
        <v>5440.93</v>
      </c>
      <c r="C130" s="812"/>
      <c r="D130" s="812"/>
      <c r="E130" s="813" t="s">
        <v>310</v>
      </c>
      <c r="F130" s="788">
        <v>963.3</v>
      </c>
      <c r="G130" s="788"/>
      <c r="H130" s="787" t="s">
        <v>211</v>
      </c>
    </row>
    <row r="131" spans="1:9" s="761" customFormat="1">
      <c r="A131" s="787">
        <v>288</v>
      </c>
      <c r="B131" s="787">
        <v>10178.73</v>
      </c>
      <c r="C131" s="812"/>
      <c r="D131" s="812"/>
      <c r="E131" s="777" t="s">
        <v>393</v>
      </c>
      <c r="F131" s="788">
        <v>1270.9000000000001</v>
      </c>
      <c r="G131" s="788"/>
      <c r="H131" s="787" t="s">
        <v>211</v>
      </c>
      <c r="I131" s="760"/>
    </row>
    <row r="132" spans="1:9" s="761" customFormat="1">
      <c r="A132" s="795">
        <v>289</v>
      </c>
      <c r="B132" s="795">
        <v>20754.25</v>
      </c>
      <c r="C132" s="821"/>
      <c r="D132" s="821"/>
      <c r="E132" s="777" t="s">
        <v>400</v>
      </c>
      <c r="F132" s="795">
        <v>2101.6999999999998</v>
      </c>
      <c r="G132" s="795"/>
      <c r="H132" s="787" t="s">
        <v>211</v>
      </c>
      <c r="I132" s="760"/>
    </row>
    <row r="133" spans="1:9" s="761" customFormat="1">
      <c r="A133" s="787">
        <v>290</v>
      </c>
      <c r="B133" s="787">
        <v>31920.61</v>
      </c>
      <c r="C133" s="812"/>
      <c r="D133" s="812"/>
      <c r="E133" s="777" t="s">
        <v>404</v>
      </c>
      <c r="F133" s="788">
        <v>1223.3</v>
      </c>
      <c r="G133" s="788"/>
      <c r="H133" s="787" t="s">
        <v>211</v>
      </c>
      <c r="I133" s="760"/>
    </row>
    <row r="134" spans="1:9" s="761" customFormat="1">
      <c r="A134" s="787">
        <v>291</v>
      </c>
      <c r="B134" s="787">
        <v>2426.25</v>
      </c>
      <c r="C134" s="812"/>
      <c r="D134" s="812"/>
      <c r="E134" s="819" t="s">
        <v>314</v>
      </c>
      <c r="F134" s="822">
        <v>518.79999999999995</v>
      </c>
      <c r="G134" s="822"/>
      <c r="H134" s="787" t="s">
        <v>199</v>
      </c>
      <c r="I134" s="760"/>
    </row>
    <row r="135" spans="1:9" s="761" customFormat="1">
      <c r="A135" s="787">
        <v>292</v>
      </c>
      <c r="B135" s="787">
        <v>12431.65</v>
      </c>
      <c r="C135" s="812"/>
      <c r="D135" s="812"/>
      <c r="E135" s="818" t="s">
        <v>318</v>
      </c>
      <c r="F135" s="788">
        <v>1934.7</v>
      </c>
      <c r="G135" s="788"/>
      <c r="H135" s="787" t="s">
        <v>211</v>
      </c>
      <c r="I135" s="760"/>
    </row>
    <row r="136" spans="1:9" s="761" customFormat="1">
      <c r="A136" s="796">
        <v>293</v>
      </c>
      <c r="B136" s="796">
        <v>12941.67</v>
      </c>
      <c r="C136" s="823"/>
      <c r="D136" s="823"/>
      <c r="E136" s="818" t="s">
        <v>321</v>
      </c>
      <c r="F136" s="796">
        <v>2324.5</v>
      </c>
      <c r="G136" s="796"/>
      <c r="H136" s="787" t="s">
        <v>199</v>
      </c>
      <c r="I136" s="760"/>
    </row>
    <row r="137" spans="1:9" s="761" customFormat="1">
      <c r="A137" s="787">
        <v>294</v>
      </c>
      <c r="B137" s="787">
        <v>10278.17</v>
      </c>
      <c r="C137" s="812"/>
      <c r="D137" s="812"/>
      <c r="E137" s="818" t="s">
        <v>326</v>
      </c>
      <c r="F137" s="788">
        <v>1452.2</v>
      </c>
      <c r="G137" s="788"/>
      <c r="H137" s="787" t="s">
        <v>211</v>
      </c>
      <c r="I137" s="760"/>
    </row>
    <row r="138" spans="1:9" s="761" customFormat="1" ht="16.149999999999999" hidden="1" customHeight="1">
      <c r="A138" s="787">
        <v>295</v>
      </c>
      <c r="B138" s="787">
        <v>7395.7</v>
      </c>
      <c r="C138" s="812"/>
      <c r="D138" s="812"/>
      <c r="E138" s="766" t="s">
        <v>414</v>
      </c>
      <c r="F138" s="788">
        <v>3270.4</v>
      </c>
      <c r="G138" s="788"/>
      <c r="H138" s="787"/>
      <c r="I138" s="760"/>
    </row>
    <row r="141" spans="1:9" s="761" customFormat="1">
      <c r="A141" s="760"/>
      <c r="B141" s="759"/>
      <c r="C141" s="759"/>
      <c r="D141" s="759"/>
      <c r="E141" s="760"/>
      <c r="F141" s="760"/>
      <c r="G141" s="760"/>
      <c r="I141" s="824"/>
    </row>
  </sheetData>
  <mergeCells count="3">
    <mergeCell ref="A43:B44"/>
    <mergeCell ref="L61:L64"/>
    <mergeCell ref="L83:L8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3F22A-84A1-434F-9378-CF4B0A312399}">
  <sheetPr>
    <tabColor theme="4"/>
  </sheetPr>
  <dimension ref="A1:T156"/>
  <sheetViews>
    <sheetView zoomScale="66" zoomScaleNormal="90" workbookViewId="0">
      <selection activeCell="B131" sqref="B131"/>
    </sheetView>
  </sheetViews>
  <sheetFormatPr defaultColWidth="22.25" defaultRowHeight="14.25"/>
  <cols>
    <col min="1" max="1" width="31" style="315" customWidth="1"/>
    <col min="2" max="2" width="11.75" style="315" customWidth="1"/>
    <col min="3" max="3" width="19.75" style="315" bestFit="1" customWidth="1"/>
    <col min="4" max="4" width="20.75" style="315" bestFit="1" customWidth="1"/>
    <col min="5" max="5" width="23.25" style="315" bestFit="1" customWidth="1"/>
    <col min="6" max="6" width="27" style="315" bestFit="1" customWidth="1"/>
    <col min="7" max="7" width="23.75" style="315" bestFit="1" customWidth="1"/>
    <col min="8" max="8" width="19.75" style="315" bestFit="1" customWidth="1"/>
    <col min="9" max="9" width="24" style="315" bestFit="1" customWidth="1"/>
    <col min="10" max="10" width="21.25" style="315" bestFit="1" customWidth="1"/>
    <col min="11" max="11" width="16.75" style="315" bestFit="1" customWidth="1"/>
    <col min="12" max="13" width="19.75" style="315" bestFit="1" customWidth="1"/>
    <col min="14" max="14" width="20.625" style="315" bestFit="1" customWidth="1"/>
    <col min="15" max="16384" width="22.25" style="315"/>
  </cols>
  <sheetData>
    <row r="1" spans="1:14" s="316" customFormat="1">
      <c r="A1" s="317" t="s">
        <v>987</v>
      </c>
      <c r="B1" s="317"/>
      <c r="C1" s="317" t="s">
        <v>141</v>
      </c>
      <c r="D1" s="317" t="s">
        <v>142</v>
      </c>
      <c r="E1" s="317" t="s">
        <v>143</v>
      </c>
      <c r="F1" s="317" t="s">
        <v>144</v>
      </c>
      <c r="G1" s="317" t="s">
        <v>145</v>
      </c>
      <c r="H1" s="317" t="s">
        <v>146</v>
      </c>
      <c r="I1" s="317" t="s">
        <v>147</v>
      </c>
      <c r="J1" s="317" t="s">
        <v>148</v>
      </c>
      <c r="K1" s="317" t="s">
        <v>149</v>
      </c>
      <c r="L1" s="317" t="s">
        <v>150</v>
      </c>
      <c r="M1" s="317" t="s">
        <v>988</v>
      </c>
      <c r="N1" s="317" t="s">
        <v>989</v>
      </c>
    </row>
    <row r="2" spans="1:14" s="493" customFormat="1">
      <c r="B2" s="496" t="s">
        <v>990</v>
      </c>
      <c r="C2" s="493">
        <v>2.4000000000000001E-5</v>
      </c>
      <c r="D2" s="493">
        <v>6.0000000000000002E-6</v>
      </c>
      <c r="E2" s="493">
        <v>6.0000000000000002E-6</v>
      </c>
      <c r="F2" s="494">
        <v>1.9999999999999999E-6</v>
      </c>
      <c r="G2" s="493">
        <v>1.9999999999999999E-6</v>
      </c>
      <c r="H2" s="493">
        <v>1.9999999999999999E-6</v>
      </c>
      <c r="I2" s="493">
        <v>6.0000000000000002E-6</v>
      </c>
      <c r="J2" s="493">
        <v>1.9999999999999999E-6</v>
      </c>
      <c r="K2" s="493">
        <v>6.0000000000000002E-6</v>
      </c>
      <c r="L2" s="493">
        <v>9.9999999999999995E-7</v>
      </c>
      <c r="M2" s="493">
        <v>5.9999999999999997E-7</v>
      </c>
    </row>
    <row r="3" spans="1:14" s="319" customFormat="1" hidden="1">
      <c r="A3" s="318" t="s">
        <v>991</v>
      </c>
      <c r="B3" s="318"/>
      <c r="C3" s="318" t="s">
        <v>992</v>
      </c>
      <c r="D3" s="318" t="s">
        <v>993</v>
      </c>
      <c r="E3" s="318"/>
      <c r="F3" s="318" t="s">
        <v>994</v>
      </c>
      <c r="G3" s="318" t="s">
        <v>993</v>
      </c>
      <c r="H3" s="318"/>
      <c r="I3" s="318"/>
      <c r="J3" s="318" t="s">
        <v>992</v>
      </c>
      <c r="K3" s="318"/>
      <c r="L3" s="318" t="s">
        <v>995</v>
      </c>
      <c r="M3" s="318" t="s">
        <v>996</v>
      </c>
      <c r="N3" s="318"/>
    </row>
    <row r="4" spans="1:14">
      <c r="A4" s="251"/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</row>
    <row r="5" spans="1:14">
      <c r="A5" s="251" t="s">
        <v>997</v>
      </c>
      <c r="B5" s="251" t="s">
        <v>998</v>
      </c>
      <c r="C5" s="251">
        <v>265.35500000000002</v>
      </c>
      <c r="D5" s="251">
        <v>376.36</v>
      </c>
      <c r="E5" s="251">
        <v>122.12</v>
      </c>
      <c r="F5" s="251">
        <v>123.11</v>
      </c>
      <c r="G5" s="251">
        <v>219.23</v>
      </c>
      <c r="H5" s="251">
        <v>167.16</v>
      </c>
      <c r="I5" s="251">
        <v>168.196</v>
      </c>
      <c r="J5" s="251">
        <v>169.18</v>
      </c>
      <c r="K5" s="251">
        <v>244.31</v>
      </c>
      <c r="L5" s="251">
        <v>441.4</v>
      </c>
      <c r="M5" s="251">
        <v>1355.38</v>
      </c>
      <c r="N5" s="251"/>
    </row>
    <row r="6" spans="1:14">
      <c r="A6" s="251" t="s">
        <v>999</v>
      </c>
      <c r="B6" s="251" t="s">
        <v>1000</v>
      </c>
      <c r="C6" s="251">
        <f>C5</f>
        <v>265.35500000000002</v>
      </c>
      <c r="D6" s="251">
        <f t="shared" ref="D6:M6" si="0">D5</f>
        <v>376.36</v>
      </c>
      <c r="E6" s="251">
        <f t="shared" si="0"/>
        <v>122.12</v>
      </c>
      <c r="F6" s="251">
        <f t="shared" si="0"/>
        <v>123.11</v>
      </c>
      <c r="G6" s="251">
        <f t="shared" si="0"/>
        <v>219.23</v>
      </c>
      <c r="H6" s="251">
        <f t="shared" si="0"/>
        <v>167.16</v>
      </c>
      <c r="I6" s="251">
        <f t="shared" si="0"/>
        <v>168.196</v>
      </c>
      <c r="J6" s="251">
        <f t="shared" si="0"/>
        <v>169.18</v>
      </c>
      <c r="K6" s="251">
        <f t="shared" si="0"/>
        <v>244.31</v>
      </c>
      <c r="L6" s="251">
        <f t="shared" si="0"/>
        <v>441.4</v>
      </c>
      <c r="M6" s="251">
        <f t="shared" si="0"/>
        <v>1355.38</v>
      </c>
      <c r="N6" s="251"/>
    </row>
    <row r="7" spans="1:14">
      <c r="A7" s="251" t="s">
        <v>1001</v>
      </c>
      <c r="B7" s="251" t="s">
        <v>1002</v>
      </c>
      <c r="C7" s="251">
        <f>C6/1000000</f>
        <v>2.65355E-4</v>
      </c>
      <c r="D7" s="251">
        <f t="shared" ref="D7:M7" si="1">D6/1000000</f>
        <v>3.7636000000000001E-4</v>
      </c>
      <c r="E7" s="251">
        <f t="shared" si="1"/>
        <v>1.2212E-4</v>
      </c>
      <c r="F7" s="251">
        <f t="shared" si="1"/>
        <v>1.2311000000000001E-4</v>
      </c>
      <c r="G7" s="251">
        <f t="shared" si="1"/>
        <v>2.1923E-4</v>
      </c>
      <c r="H7" s="251">
        <f t="shared" si="1"/>
        <v>1.6715999999999999E-4</v>
      </c>
      <c r="I7" s="251">
        <f t="shared" si="1"/>
        <v>1.6819599999999999E-4</v>
      </c>
      <c r="J7" s="251">
        <f t="shared" si="1"/>
        <v>1.6918E-4</v>
      </c>
      <c r="K7" s="251">
        <f t="shared" si="1"/>
        <v>2.4431000000000002E-4</v>
      </c>
      <c r="L7" s="251">
        <f t="shared" si="1"/>
        <v>4.414E-4</v>
      </c>
      <c r="M7" s="251">
        <f t="shared" si="1"/>
        <v>1.3553800000000002E-3</v>
      </c>
      <c r="N7" s="251"/>
    </row>
    <row r="8" spans="1:14">
      <c r="A8" s="251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</row>
    <row r="9" spans="1:14" s="316" customFormat="1" ht="18">
      <c r="C9" s="987" t="s">
        <v>1003</v>
      </c>
      <c r="D9" s="987"/>
      <c r="E9" s="987"/>
      <c r="F9" s="987"/>
      <c r="G9" s="987"/>
      <c r="H9" s="987"/>
      <c r="I9" s="987"/>
      <c r="J9" s="987"/>
      <c r="K9" s="987"/>
      <c r="L9" s="987"/>
      <c r="M9" s="987"/>
    </row>
    <row r="10" spans="1:14" s="316" customFormat="1">
      <c r="A10" s="317" t="s">
        <v>987</v>
      </c>
      <c r="B10" s="317"/>
      <c r="C10" s="317" t="s">
        <v>141</v>
      </c>
      <c r="D10" s="317" t="s">
        <v>142</v>
      </c>
      <c r="E10" s="317" t="s">
        <v>143</v>
      </c>
      <c r="F10" s="317" t="s">
        <v>144</v>
      </c>
      <c r="G10" s="317" t="s">
        <v>145</v>
      </c>
      <c r="H10" s="317" t="s">
        <v>146</v>
      </c>
      <c r="I10" s="317" t="s">
        <v>147</v>
      </c>
      <c r="J10" s="317" t="s">
        <v>148</v>
      </c>
      <c r="K10" s="317" t="s">
        <v>149</v>
      </c>
      <c r="L10" s="317" t="s">
        <v>150</v>
      </c>
      <c r="M10" s="317" t="s">
        <v>988</v>
      </c>
      <c r="N10" s="317" t="s">
        <v>989</v>
      </c>
    </row>
    <row r="11" spans="1:14" s="319" customFormat="1">
      <c r="A11" s="318"/>
      <c r="B11" s="496" t="s">
        <v>990</v>
      </c>
      <c r="C11" s="493">
        <v>2.4000000000000001E-5</v>
      </c>
      <c r="D11" s="493">
        <v>6.0000000000000002E-6</v>
      </c>
      <c r="E11" s="493">
        <v>6.0000000000000002E-6</v>
      </c>
      <c r="F11" s="494">
        <v>1.9999999999999999E-6</v>
      </c>
      <c r="G11" s="493">
        <v>1.9999999999999999E-6</v>
      </c>
      <c r="H11" s="493">
        <v>1.9999999999999999E-6</v>
      </c>
      <c r="I11" s="493">
        <v>6.0000000000000002E-6</v>
      </c>
      <c r="J11" s="493">
        <v>1.9999999999999999E-6</v>
      </c>
      <c r="K11" s="493">
        <v>6.0000000000000002E-6</v>
      </c>
      <c r="L11" s="493">
        <v>9.9999999999999995E-7</v>
      </c>
      <c r="M11" s="493">
        <v>5.9999999999999997E-7</v>
      </c>
      <c r="N11" s="318"/>
    </row>
    <row r="12" spans="1:14">
      <c r="A12" s="251"/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</row>
    <row r="13" spans="1:14" ht="15.75">
      <c r="A13" s="620" t="s">
        <v>1004</v>
      </c>
      <c r="B13" s="11"/>
      <c r="C13" s="251">
        <v>0.53534684037869495</v>
      </c>
      <c r="D13" s="251">
        <v>3.9786476504035898E-2</v>
      </c>
      <c r="E13" s="251">
        <v>0.20437583742252385</v>
      </c>
      <c r="F13" s="251">
        <v>0.42112596196855945</v>
      </c>
      <c r="G13" s="251">
        <v>0.20114458208432751</v>
      </c>
      <c r="H13" s="251">
        <v>1.3574635438009439E-3</v>
      </c>
      <c r="I13" s="251">
        <v>5.9088618016083774E-3</v>
      </c>
      <c r="J13" s="251">
        <v>0.10341449797841838</v>
      </c>
      <c r="K13" s="251">
        <v>7.6947505156620588E-4</v>
      </c>
      <c r="L13" s="251">
        <v>1.2681800720777956E-3</v>
      </c>
      <c r="M13" s="251">
        <v>9.8762507170713467E-5</v>
      </c>
      <c r="N13" s="251">
        <v>0</v>
      </c>
    </row>
    <row r="14" spans="1:14" ht="15.75">
      <c r="A14" s="620" t="s">
        <v>1005</v>
      </c>
      <c r="B14" s="11"/>
      <c r="C14" s="251">
        <v>4.5676451283149434E-2</v>
      </c>
      <c r="D14" s="251">
        <v>1.5336256030312221E-2</v>
      </c>
      <c r="E14" s="251">
        <v>9.2920869127648409E-2</v>
      </c>
      <c r="F14" s="251">
        <v>0.14548853375917442</v>
      </c>
      <c r="G14" s="251">
        <v>8.354179182225499E-2</v>
      </c>
      <c r="H14" s="251">
        <v>7.4145126347962653E-4</v>
      </c>
      <c r="I14" s="251">
        <v>5.0767789538772772E-3</v>
      </c>
      <c r="J14" s="251">
        <v>1.3095451136718323E-2</v>
      </c>
      <c r="K14" s="251">
        <v>7.475185273887379E-4</v>
      </c>
      <c r="L14" s="251">
        <v>4.6808826924304688E-4</v>
      </c>
      <c r="M14" s="251">
        <v>2.1556728035645447E-5</v>
      </c>
      <c r="N14" s="251">
        <v>0</v>
      </c>
    </row>
    <row r="15" spans="1:14" ht="15.75">
      <c r="A15" s="620" t="s">
        <v>1006</v>
      </c>
      <c r="B15" s="11"/>
      <c r="C15" s="251">
        <v>6.6278381058460539E-2</v>
      </c>
      <c r="D15" s="251">
        <v>3.0888200281793392E-2</v>
      </c>
      <c r="E15" s="251">
        <v>3.3523024698142494E-2</v>
      </c>
      <c r="F15" s="251">
        <v>0.13549965206246897</v>
      </c>
      <c r="G15" s="251">
        <v>7.3939866927344763E-2</v>
      </c>
      <c r="H15" s="251">
        <v>3.8697829327252818E-4</v>
      </c>
      <c r="I15" s="251">
        <v>4.011579141574643E-3</v>
      </c>
      <c r="J15" s="251">
        <v>2.3711628086266288E-2</v>
      </c>
      <c r="K15" s="251">
        <v>3.9085988622606239E-4</v>
      </c>
      <c r="L15" s="251">
        <v>3.1052389842396591E-4</v>
      </c>
      <c r="M15" s="251">
        <v>2.3003336179978058E-5</v>
      </c>
      <c r="N15" s="251">
        <v>0</v>
      </c>
    </row>
    <row r="16" spans="1:14" ht="15.75">
      <c r="A16" s="620" t="s">
        <v>1007</v>
      </c>
      <c r="B16" s="11"/>
      <c r="C16" s="251">
        <v>0.12256046353258178</v>
      </c>
      <c r="D16" s="251">
        <v>2.4335369527702967E-2</v>
      </c>
      <c r="E16" s="251">
        <v>0.11146148930626953</v>
      </c>
      <c r="F16" s="251">
        <v>0.11627987888847165</v>
      </c>
      <c r="G16" s="251">
        <v>0.12074513195307197</v>
      </c>
      <c r="H16" s="251">
        <v>5.0960590103269203E-4</v>
      </c>
      <c r="I16" s="251">
        <v>3.6152909831964676E-3</v>
      </c>
      <c r="J16" s="251">
        <v>4.2846677016118939E-2</v>
      </c>
      <c r="K16" s="251">
        <v>3.0655025313604852E-4</v>
      </c>
      <c r="L16" s="251">
        <v>4.0415134185597305E-4</v>
      </c>
      <c r="M16" s="251">
        <v>3.462287368664655E-5</v>
      </c>
      <c r="N16" s="251">
        <v>0</v>
      </c>
    </row>
    <row r="17" spans="1:14" ht="15.75">
      <c r="A17" s="620" t="s">
        <v>1008</v>
      </c>
      <c r="B17" s="11"/>
      <c r="C17" s="251">
        <v>0.9441457752726885</v>
      </c>
      <c r="D17" s="251">
        <v>1.9039940048735115E-2</v>
      </c>
      <c r="E17" s="251">
        <v>3.2663437805192742E-2</v>
      </c>
      <c r="F17" s="251">
        <v>0.16899936933681572</v>
      </c>
      <c r="G17" s="251">
        <v>0.14640825650222122</v>
      </c>
      <c r="H17" s="251">
        <v>6.4579383978696813E-4</v>
      </c>
      <c r="I17" s="251">
        <v>1.0401924838422776E-2</v>
      </c>
      <c r="J17" s="251">
        <v>2.6258402838836483E-2</v>
      </c>
      <c r="K17" s="251">
        <v>8.3443398325347591E-4</v>
      </c>
      <c r="L17" s="251">
        <v>2.9891286800874206E-4</v>
      </c>
      <c r="M17" s="251">
        <v>4.685345591689974E-5</v>
      </c>
      <c r="N17" s="251">
        <v>0</v>
      </c>
    </row>
    <row r="18" spans="1:14" ht="15.75">
      <c r="A18" s="321" t="s">
        <v>1009</v>
      </c>
      <c r="B18" s="11"/>
      <c r="C18" s="251">
        <v>8.1838993834108836E-2</v>
      </c>
      <c r="D18" s="251">
        <v>2.2432545128558919E-2</v>
      </c>
      <c r="E18" s="251">
        <v>0.18837342784072394</v>
      </c>
      <c r="F18" s="251">
        <v>3.7249491951594979E-2</v>
      </c>
      <c r="G18" s="251">
        <v>9.5052655107293271E-2</v>
      </c>
      <c r="H18" s="251">
        <v>6.3451835833502543E-4</v>
      </c>
      <c r="I18" s="251">
        <v>4.6573498156909287E-3</v>
      </c>
      <c r="J18" s="251">
        <v>3.0413238669362422E-2</v>
      </c>
      <c r="K18" s="251">
        <v>1.6230911673830129E-3</v>
      </c>
      <c r="L18" s="251">
        <v>3.0636243674029152E-4</v>
      </c>
      <c r="M18" s="251">
        <v>2.3630061768619488E-5</v>
      </c>
      <c r="N18" s="251">
        <v>0</v>
      </c>
    </row>
    <row r="19" spans="1:14" ht="15.75">
      <c r="A19" s="321" t="s">
        <v>1010</v>
      </c>
      <c r="B19" s="11"/>
      <c r="C19" s="251">
        <v>6.5496831512648679E-2</v>
      </c>
      <c r="D19" s="251">
        <v>2.3521731616881595E-2</v>
      </c>
      <c r="E19" s="251">
        <v>0.74044951271309767</v>
      </c>
      <c r="F19" s="251">
        <v>5.1311640126467717E-2</v>
      </c>
      <c r="G19" s="251">
        <v>0.13025510140471061</v>
      </c>
      <c r="H19" s="251">
        <v>1.2062124377800695E-3</v>
      </c>
      <c r="I19" s="251">
        <v>4.5891995651047898E-3</v>
      </c>
      <c r="J19" s="251">
        <v>2.5181015769742094E-2</v>
      </c>
      <c r="K19" s="251">
        <v>1.1086795239027985E-3</v>
      </c>
      <c r="L19" s="251">
        <v>8.3030091739781631E-4</v>
      </c>
      <c r="M19" s="251">
        <v>2.4095501815608028E-5</v>
      </c>
      <c r="N19" s="251">
        <v>0</v>
      </c>
    </row>
    <row r="20" spans="1:14" ht="15.75">
      <c r="A20" s="321" t="s">
        <v>1011</v>
      </c>
      <c r="B20" s="11"/>
      <c r="C20" s="251">
        <v>5.5598486924797491E-2</v>
      </c>
      <c r="D20" s="251">
        <v>6.2990956995275238E-3</v>
      </c>
      <c r="E20" s="251">
        <v>0.10159610291519514</v>
      </c>
      <c r="F20" s="251">
        <v>8.0375339277943575E-2</v>
      </c>
      <c r="G20" s="251">
        <v>4.3490566163070794E-2</v>
      </c>
      <c r="H20" s="251">
        <v>8.0528238650063092E-4</v>
      </c>
      <c r="I20" s="251">
        <v>3.4167400951153073E-3</v>
      </c>
      <c r="J20" s="251">
        <v>1.5316717009769396E-2</v>
      </c>
      <c r="K20" s="251">
        <v>3.8215958914278233E-4</v>
      </c>
      <c r="L20" s="251">
        <v>3.1563711830572233E-4</v>
      </c>
      <c r="M20" s="251">
        <v>2.551553699047948E-5</v>
      </c>
      <c r="N20" s="251">
        <v>0</v>
      </c>
    </row>
    <row r="21" spans="1:14" ht="15.75">
      <c r="A21" s="321" t="s">
        <v>1012</v>
      </c>
      <c r="B21" s="43"/>
      <c r="C21" s="251">
        <v>3.40373110267733E-2</v>
      </c>
      <c r="D21" s="251">
        <v>6.856854506765174E-3</v>
      </c>
      <c r="E21" s="251">
        <v>3.8858760560089786E-2</v>
      </c>
      <c r="F21" s="251">
        <v>2.5227331274563915E-2</v>
      </c>
      <c r="G21" s="251">
        <v>2.6710876256551712E-2</v>
      </c>
      <c r="H21" s="251">
        <v>6.0533391733467903E-4</v>
      </c>
      <c r="I21" s="251">
        <v>7.9089839479451231E-3</v>
      </c>
      <c r="J21" s="251">
        <v>2.1529421957295937E-3</v>
      </c>
      <c r="K21" s="251">
        <v>6.6059998335030122E-5</v>
      </c>
      <c r="L21" s="251">
        <v>1.0858832969201499E-4</v>
      </c>
      <c r="M21" s="251">
        <v>0</v>
      </c>
      <c r="N21" s="251">
        <v>0</v>
      </c>
    </row>
    <row r="22" spans="1:14" ht="15.75">
      <c r="A22" s="321" t="s">
        <v>1013</v>
      </c>
      <c r="B22" s="11"/>
      <c r="C22" s="251">
        <v>3.28666353772075E-2</v>
      </c>
      <c r="D22" s="251">
        <v>1.0088880255968326E-2</v>
      </c>
      <c r="E22" s="251">
        <v>2.397199239682209E-2</v>
      </c>
      <c r="F22" s="251">
        <v>8.5301716396440255E-2</v>
      </c>
      <c r="G22" s="251">
        <v>8.5623581311359831E-2</v>
      </c>
      <c r="H22" s="251">
        <v>7.7049259792997832E-4</v>
      </c>
      <c r="I22" s="251">
        <v>3.047532052634595E-3</v>
      </c>
      <c r="J22" s="251">
        <v>1.3137018479942678E-2</v>
      </c>
      <c r="K22" s="251">
        <v>1.0490984126928287E-2</v>
      </c>
      <c r="L22" s="251">
        <v>3.097119486799458E-4</v>
      </c>
      <c r="M22" s="251">
        <v>0</v>
      </c>
      <c r="N22" s="251">
        <v>0</v>
      </c>
    </row>
    <row r="23" spans="1:14">
      <c r="A23" s="314"/>
      <c r="B23" s="314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</row>
    <row r="24" spans="1:14">
      <c r="A24" s="314" t="s">
        <v>1014</v>
      </c>
      <c r="B24" s="314"/>
      <c r="C24" s="251">
        <v>0.52815236229656404</v>
      </c>
      <c r="D24" s="251">
        <v>3.920348004466518E-2</v>
      </c>
      <c r="E24" s="251">
        <v>0.20454381208485437</v>
      </c>
      <c r="F24" s="251">
        <v>0.43696755216050576</v>
      </c>
      <c r="G24" s="251">
        <v>0.20181865986011771</v>
      </c>
      <c r="H24" s="251">
        <v>1.3353243775393836E-3</v>
      </c>
      <c r="I24" s="251">
        <v>6.2496760026500798E-3</v>
      </c>
      <c r="J24" s="251">
        <v>0.1022100720650318</v>
      </c>
      <c r="K24" s="251">
        <v>6.9821743693719834E-4</v>
      </c>
      <c r="L24" s="251">
        <v>1.2935532247568984E-3</v>
      </c>
      <c r="M24" s="251">
        <v>1.0996098027822545E-4</v>
      </c>
      <c r="N24" s="251" t="s">
        <v>1015</v>
      </c>
    </row>
    <row r="25" spans="1:14">
      <c r="A25" s="314" t="s">
        <v>1016</v>
      </c>
      <c r="B25" s="314"/>
      <c r="C25" s="251">
        <v>0.53534684037869484</v>
      </c>
      <c r="D25" s="251">
        <v>3.978647650403587E-2</v>
      </c>
      <c r="E25" s="251">
        <v>0.20437583742252385</v>
      </c>
      <c r="F25" s="251">
        <v>0.42112596196855945</v>
      </c>
      <c r="G25" s="251">
        <v>0.20114458208432751</v>
      </c>
      <c r="H25" s="251">
        <v>1.3574635438009439E-3</v>
      </c>
      <c r="I25" s="251">
        <v>5.9088618016083774E-3</v>
      </c>
      <c r="J25" s="251">
        <v>0.10341449797841838</v>
      </c>
      <c r="K25" s="251">
        <v>7.6947505156620588E-4</v>
      </c>
      <c r="L25" s="251">
        <v>1.2681800720777956E-3</v>
      </c>
      <c r="M25" s="251">
        <v>9.8762507170713467E-5</v>
      </c>
      <c r="N25" s="251" t="s">
        <v>1015</v>
      </c>
    </row>
    <row r="26" spans="1:14">
      <c r="A26" s="314" t="s">
        <v>1017</v>
      </c>
      <c r="B26" s="314"/>
      <c r="C26" s="251">
        <v>0.5011746375342041</v>
      </c>
      <c r="D26" s="251">
        <v>3.9502771968665876E-2</v>
      </c>
      <c r="E26" s="251">
        <v>0.20487707209588049</v>
      </c>
      <c r="F26" s="251">
        <v>0.40528437177661297</v>
      </c>
      <c r="G26" s="251">
        <v>0.20817668743045573</v>
      </c>
      <c r="H26" s="251">
        <v>1.297121134296568E-3</v>
      </c>
      <c r="I26" s="251">
        <v>5.3844506206000139E-3</v>
      </c>
      <c r="J26" s="251">
        <v>0.10277902957942427</v>
      </c>
      <c r="K26" s="251">
        <v>7.7077859698219096E-4</v>
      </c>
      <c r="L26" s="251">
        <v>1.26233864481046E-3</v>
      </c>
      <c r="M26" s="251">
        <v>1.1088152022621617E-4</v>
      </c>
      <c r="N26" s="251" t="s">
        <v>1015</v>
      </c>
    </row>
    <row r="27" spans="1:14">
      <c r="A27" s="314" t="s">
        <v>1018</v>
      </c>
      <c r="B27" s="314"/>
      <c r="C27" s="251">
        <v>0.49636526589922519</v>
      </c>
      <c r="D27" s="251">
        <v>3.9165912838350046E-2</v>
      </c>
      <c r="E27" s="251">
        <v>0.20608707577739274</v>
      </c>
      <c r="F27" s="251">
        <v>0.41944278158466702</v>
      </c>
      <c r="G27" s="251">
        <v>0.20692218680626717</v>
      </c>
      <c r="H27" s="251">
        <v>1.3169961098015229E-3</v>
      </c>
      <c r="I27" s="251">
        <v>5.4324560444580982E-3</v>
      </c>
      <c r="J27" s="251">
        <v>0.10439246836265915</v>
      </c>
      <c r="K27" s="251">
        <v>7.0000693959506016E-4</v>
      </c>
      <c r="L27" s="251">
        <v>1.3252647821261584E-3</v>
      </c>
      <c r="M27" s="251">
        <v>1.022002262488092E-4</v>
      </c>
      <c r="N27" s="251" t="s">
        <v>1015</v>
      </c>
    </row>
    <row r="28" spans="1:14">
      <c r="A28" s="314" t="s">
        <v>507</v>
      </c>
      <c r="B28" s="314"/>
      <c r="C28" s="251">
        <v>3.76</v>
      </c>
      <c r="D28" s="251">
        <v>0.74</v>
      </c>
      <c r="E28" s="251">
        <v>0.38</v>
      </c>
      <c r="F28" s="251">
        <v>3.08</v>
      </c>
      <c r="G28" s="251">
        <v>1.74</v>
      </c>
      <c r="H28" s="251">
        <v>1.94</v>
      </c>
      <c r="I28" s="251">
        <v>7.17</v>
      </c>
      <c r="J28" s="251">
        <v>0.91</v>
      </c>
      <c r="K28" s="251">
        <v>5.58</v>
      </c>
      <c r="L28" s="251">
        <v>2.23</v>
      </c>
      <c r="M28" s="251">
        <v>5.61</v>
      </c>
      <c r="N28" s="251" t="s">
        <v>1015</v>
      </c>
    </row>
    <row r="29" spans="1:14">
      <c r="A29" s="314"/>
      <c r="B29" s="314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</row>
    <row r="30" spans="1:14">
      <c r="A30" s="620">
        <v>278</v>
      </c>
      <c r="B30" s="314"/>
      <c r="C30" s="61">
        <v>8.0249999999999991E-3</v>
      </c>
      <c r="D30" s="61">
        <v>1.2207000000000001E-2</v>
      </c>
      <c r="E30" s="61">
        <v>7.4489999999999999E-3</v>
      </c>
      <c r="F30" s="61">
        <v>0.35235</v>
      </c>
      <c r="G30" s="61">
        <v>6.7549999999999999E-2</v>
      </c>
      <c r="H30" s="61">
        <v>3.2000000000000003E-4</v>
      </c>
      <c r="I30" s="61">
        <v>6.0899999999999995E-4</v>
      </c>
      <c r="J30" s="61">
        <v>1.1768000000000001E-2</v>
      </c>
      <c r="K30" s="61">
        <v>7.7800000000000005E-4</v>
      </c>
      <c r="L30" s="61">
        <v>2.5200000000000001E-3</v>
      </c>
      <c r="M30" s="61">
        <v>7.7999999999999999E-5</v>
      </c>
      <c r="N30" s="251"/>
    </row>
    <row r="31" spans="1:14">
      <c r="A31" s="620">
        <v>279</v>
      </c>
      <c r="B31" s="314"/>
      <c r="C31" s="61">
        <v>1.7184999999999999E-2</v>
      </c>
      <c r="D31" s="61">
        <v>8.3470000000000003E-3</v>
      </c>
      <c r="E31" s="61">
        <v>9.8400000000000007E-4</v>
      </c>
      <c r="F31" s="61">
        <v>0.17480000000000001</v>
      </c>
      <c r="G31" s="61">
        <v>9.7198000000000007E-2</v>
      </c>
      <c r="H31" s="61">
        <v>3.1599999999999998E-4</v>
      </c>
      <c r="I31" s="61">
        <v>7.27E-4</v>
      </c>
      <c r="J31" s="61">
        <v>3.0620000000000001E-2</v>
      </c>
      <c r="K31" s="61">
        <v>1.7600000000000001E-3</v>
      </c>
      <c r="L31" s="61">
        <v>2.0560000000000001E-3</v>
      </c>
      <c r="M31" s="61">
        <v>6.0000000000000002E-5</v>
      </c>
      <c r="N31" s="251"/>
    </row>
    <row r="32" spans="1:14">
      <c r="A32" s="621">
        <v>280</v>
      </c>
      <c r="B32" s="314"/>
      <c r="C32" s="61">
        <v>1.4829E-2</v>
      </c>
      <c r="D32" s="61">
        <v>7.1209999999999997E-3</v>
      </c>
      <c r="E32" s="61">
        <v>3.6419999999999998E-3</v>
      </c>
      <c r="F32" s="61">
        <v>0.16420999999999999</v>
      </c>
      <c r="G32" s="61">
        <v>9.9279000000000006E-2</v>
      </c>
      <c r="H32" s="61">
        <v>3.0899999999999998E-4</v>
      </c>
      <c r="I32" s="61">
        <v>5.44E-4</v>
      </c>
      <c r="J32" s="61">
        <v>2.8738E-2</v>
      </c>
      <c r="K32" s="61">
        <v>2.3010000000000001E-3</v>
      </c>
      <c r="L32" s="61">
        <v>1.524E-3</v>
      </c>
      <c r="M32" s="61">
        <v>5.3000000000000001E-5</v>
      </c>
      <c r="N32" s="251"/>
    </row>
    <row r="33" spans="1:14">
      <c r="A33" s="621">
        <v>281</v>
      </c>
      <c r="B33" s="314"/>
      <c r="C33" s="61">
        <v>6.7085000000000006E-2</v>
      </c>
      <c r="D33" s="61">
        <v>1.6330000000000001E-2</v>
      </c>
      <c r="E33" s="61">
        <v>2.833E-3</v>
      </c>
      <c r="F33" s="61">
        <v>0.25369999999999998</v>
      </c>
      <c r="G33" s="61">
        <v>0.18534100000000001</v>
      </c>
      <c r="H33" s="61">
        <v>3.8200000000000002E-4</v>
      </c>
      <c r="I33" s="61">
        <v>4.5399999999999998E-4</v>
      </c>
      <c r="J33" s="61">
        <v>3.8190000000000002E-2</v>
      </c>
      <c r="K33" s="61">
        <v>1.8929999999999999E-3</v>
      </c>
      <c r="L33" s="61">
        <v>2.245E-3</v>
      </c>
      <c r="M33" s="61">
        <v>9.0000000000000006E-5</v>
      </c>
      <c r="N33" s="251"/>
    </row>
    <row r="34" spans="1:14">
      <c r="A34" s="621">
        <v>282</v>
      </c>
      <c r="B34" s="314"/>
      <c r="C34" s="61">
        <v>0.112399</v>
      </c>
      <c r="D34" s="61">
        <v>2.5829000000000001E-2</v>
      </c>
      <c r="E34" s="61">
        <v>7.94E-4</v>
      </c>
      <c r="F34" s="61">
        <v>1.80488</v>
      </c>
      <c r="G34" s="61">
        <v>0.14191500000000001</v>
      </c>
      <c r="H34" s="61">
        <v>1.9900000000000001E-4</v>
      </c>
      <c r="I34" s="61">
        <v>4.73E-4</v>
      </c>
      <c r="J34" s="61">
        <v>5.0904999999999999E-2</v>
      </c>
      <c r="K34" s="61">
        <v>4.35E-4</v>
      </c>
      <c r="L34" s="61">
        <v>1.8779999999999999E-3</v>
      </c>
      <c r="M34" s="61">
        <v>7.3999999999999996E-5</v>
      </c>
      <c r="N34" s="251"/>
    </row>
    <row r="35" spans="1:14">
      <c r="A35" s="621">
        <v>283</v>
      </c>
      <c r="B35" s="314"/>
      <c r="C35" s="61">
        <v>7.5687000000000004E-2</v>
      </c>
      <c r="D35" s="61">
        <v>2.8309999999999998E-2</v>
      </c>
      <c r="E35" s="61">
        <v>6.3599999999999996E-4</v>
      </c>
      <c r="F35" s="61">
        <v>1.0825400000000001</v>
      </c>
      <c r="G35" s="61">
        <v>0.21409</v>
      </c>
      <c r="H35" s="61">
        <v>6.5499999999999998E-4</v>
      </c>
      <c r="I35" s="61">
        <v>8.6700000000000004E-4</v>
      </c>
      <c r="J35" s="61">
        <v>4.8589E-2</v>
      </c>
      <c r="K35" s="61">
        <v>4.35E-4</v>
      </c>
      <c r="L35" s="61">
        <v>1.9090000000000001E-3</v>
      </c>
      <c r="M35" s="61">
        <v>8.3999999999999995E-5</v>
      </c>
      <c r="N35" s="251"/>
    </row>
    <row r="36" spans="1:14">
      <c r="A36" s="321">
        <v>302</v>
      </c>
      <c r="B36" s="314"/>
      <c r="C36" s="61">
        <v>7.2499999999999995E-4</v>
      </c>
      <c r="D36" s="61">
        <v>2.6559999999999999E-3</v>
      </c>
      <c r="E36" s="61">
        <v>1.2156E-2</v>
      </c>
      <c r="F36" s="61">
        <v>8.7989999999999999E-2</v>
      </c>
      <c r="G36" s="61">
        <v>7.3829999999999998E-3</v>
      </c>
      <c r="H36" s="61">
        <v>1.3999999999999999E-4</v>
      </c>
      <c r="I36" s="61">
        <v>5.7899999999999998E-4</v>
      </c>
      <c r="J36" s="61">
        <v>5.4299999999999997E-4</v>
      </c>
      <c r="K36" s="61">
        <v>4.1E-5</v>
      </c>
      <c r="L36" s="61">
        <v>6.1899999999999998E-4</v>
      </c>
      <c r="M36" s="61">
        <v>1.2E-5</v>
      </c>
      <c r="N36" s="251"/>
    </row>
    <row r="37" spans="1:14">
      <c r="A37" s="321">
        <v>306</v>
      </c>
      <c r="B37" s="314"/>
      <c r="C37" s="61">
        <v>1.1353E-2</v>
      </c>
      <c r="D37" s="61">
        <v>1.3563E-2</v>
      </c>
      <c r="E37" s="61">
        <v>2.4303000000000002E-2</v>
      </c>
      <c r="F37" s="61">
        <v>0.15669</v>
      </c>
      <c r="G37" s="61">
        <v>5.1131000000000003E-2</v>
      </c>
      <c r="H37" s="61">
        <v>4.4799999999999999E-4</v>
      </c>
      <c r="I37" s="61">
        <v>6.2600000000000004E-4</v>
      </c>
      <c r="J37" s="61">
        <v>7.3270000000000002E-3</v>
      </c>
      <c r="K37" s="61">
        <v>5.4699999999999996E-4</v>
      </c>
      <c r="L37" s="61">
        <v>8.7100000000000003E-4</v>
      </c>
      <c r="M37" s="61">
        <v>3.3000000000000003E-5</v>
      </c>
      <c r="N37" s="251"/>
    </row>
    <row r="38" spans="1:14">
      <c r="A38" s="321">
        <v>307</v>
      </c>
      <c r="B38" s="314"/>
      <c r="C38" s="61">
        <v>1.1893000000000001E-2</v>
      </c>
      <c r="D38" s="61">
        <v>1.4756999999999999E-2</v>
      </c>
      <c r="E38" s="61">
        <v>2.0591000000000002E-2</v>
      </c>
      <c r="F38" s="61">
        <v>0.16597999999999999</v>
      </c>
      <c r="G38" s="61">
        <v>5.5855000000000002E-2</v>
      </c>
      <c r="H38" s="61">
        <v>4.4099999999999999E-4</v>
      </c>
      <c r="I38" s="61">
        <v>6.2299999999999996E-4</v>
      </c>
      <c r="J38" s="61">
        <v>8.038E-3</v>
      </c>
      <c r="K38" s="61">
        <v>4.6500000000000003E-4</v>
      </c>
      <c r="L38" s="61">
        <v>9.5500000000000001E-4</v>
      </c>
      <c r="M38" s="61">
        <v>4.1999999999999998E-5</v>
      </c>
      <c r="N38" s="251"/>
    </row>
    <row r="39" spans="1:14">
      <c r="A39" s="620">
        <v>275</v>
      </c>
      <c r="B39" s="314"/>
      <c r="C39" s="61">
        <v>1.6001000000000001E-2</v>
      </c>
      <c r="D39" s="61">
        <v>1.9609000000000001E-2</v>
      </c>
      <c r="E39" s="61">
        <v>4.6889999999999996E-3</v>
      </c>
      <c r="F39" s="61">
        <v>0.18134</v>
      </c>
      <c r="G39" s="61">
        <v>5.3961000000000002E-2</v>
      </c>
      <c r="H39" s="61">
        <v>1.9900000000000001E-4</v>
      </c>
      <c r="I39" s="61">
        <v>4.86E-4</v>
      </c>
      <c r="J39" s="61">
        <v>1.5968E-2</v>
      </c>
      <c r="K39" s="61">
        <v>3.4900000000000003E-4</v>
      </c>
      <c r="L39" s="61">
        <v>7.54E-4</v>
      </c>
      <c r="M39" s="61">
        <v>2.5999999999999998E-5</v>
      </c>
      <c r="N39" s="251"/>
    </row>
    <row r="40" spans="1:14">
      <c r="A40" s="314"/>
      <c r="B40" s="314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251"/>
    </row>
    <row r="41" spans="1:14" s="251" customFormat="1">
      <c r="A41" s="632" t="s">
        <v>1014</v>
      </c>
      <c r="C41" s="633">
        <v>7.9989999999999992E-3</v>
      </c>
      <c r="D41" s="405">
        <v>1.2390999999999999E-2</v>
      </c>
      <c r="E41" s="633">
        <v>7.0679999999999996E-3</v>
      </c>
      <c r="F41" s="405">
        <v>0.34933999999999998</v>
      </c>
      <c r="G41" s="633">
        <v>6.7124000000000003E-2</v>
      </c>
      <c r="H41" s="633">
        <v>3.4900000000000003E-4</v>
      </c>
      <c r="I41" s="405">
        <v>7.6499999999999995E-4</v>
      </c>
      <c r="J41" s="633">
        <v>1.1738999999999999E-2</v>
      </c>
      <c r="K41" s="405">
        <v>8.7299999999999997E-4</v>
      </c>
      <c r="L41" s="405">
        <v>2.1900000000000001E-3</v>
      </c>
      <c r="M41" s="633">
        <v>9.0000000000000006E-5</v>
      </c>
    </row>
    <row r="42" spans="1:14" s="251" customFormat="1">
      <c r="A42" s="632" t="s">
        <v>1016</v>
      </c>
      <c r="C42" s="633">
        <v>8.0249999999999991E-3</v>
      </c>
      <c r="D42" s="405">
        <v>1.2207000000000001E-2</v>
      </c>
      <c r="E42" s="633">
        <v>7.4489999999999999E-3</v>
      </c>
      <c r="F42" s="405">
        <v>0.35235</v>
      </c>
      <c r="G42" s="633">
        <v>6.7549999999999999E-2</v>
      </c>
      <c r="H42" s="633">
        <v>3.2000000000000003E-4</v>
      </c>
      <c r="I42" s="405">
        <v>6.0899999999999995E-4</v>
      </c>
      <c r="J42" s="633">
        <v>1.1768000000000001E-2</v>
      </c>
      <c r="K42" s="405">
        <v>7.7800000000000005E-4</v>
      </c>
      <c r="L42" s="405">
        <v>2.5200000000000001E-3</v>
      </c>
      <c r="M42" s="633">
        <v>7.7999999999999999E-5</v>
      </c>
    </row>
    <row r="43" spans="1:14" s="251" customFormat="1">
      <c r="A43" s="632" t="s">
        <v>1017</v>
      </c>
      <c r="C43" s="633">
        <v>7.6499999999999997E-3</v>
      </c>
      <c r="D43" s="405">
        <v>1.1841000000000001E-2</v>
      </c>
      <c r="E43" s="633">
        <v>7.025E-3</v>
      </c>
      <c r="F43" s="405">
        <v>0.35417999999999999</v>
      </c>
      <c r="G43" s="633">
        <v>6.6434000000000007E-2</v>
      </c>
      <c r="H43" s="633">
        <v>2.9999999999999997E-4</v>
      </c>
      <c r="I43" s="405">
        <v>7.0799999999999997E-4</v>
      </c>
      <c r="J43" s="633">
        <v>1.1802999999999999E-2</v>
      </c>
      <c r="K43" s="405">
        <v>7.5299999999999998E-4</v>
      </c>
      <c r="L43" s="405">
        <v>2.5799999999999998E-3</v>
      </c>
      <c r="M43" s="633">
        <v>8.3999999999999995E-5</v>
      </c>
    </row>
    <row r="44" spans="1:14" s="251" customFormat="1">
      <c r="A44" s="632" t="s">
        <v>1019</v>
      </c>
      <c r="C44" s="405">
        <v>2.65</v>
      </c>
      <c r="D44" s="405">
        <v>2.31</v>
      </c>
      <c r="E44" s="405">
        <v>3.25</v>
      </c>
      <c r="F44" s="405">
        <v>0.69</v>
      </c>
      <c r="G44" s="405">
        <v>0.84</v>
      </c>
      <c r="H44" s="405">
        <v>7.63</v>
      </c>
      <c r="I44" s="405">
        <v>11.37</v>
      </c>
      <c r="J44" s="405">
        <v>0.27</v>
      </c>
      <c r="K44" s="405">
        <v>7.9</v>
      </c>
      <c r="L44" s="405">
        <v>8.64</v>
      </c>
      <c r="M44" s="405">
        <v>7.14</v>
      </c>
    </row>
    <row r="45" spans="1:14">
      <c r="A45" s="314"/>
      <c r="B45" s="314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</row>
    <row r="46" spans="1:14" ht="18">
      <c r="A46" s="495"/>
      <c r="B46" s="495"/>
      <c r="C46" s="987" t="s">
        <v>1020</v>
      </c>
      <c r="D46" s="987"/>
      <c r="E46" s="987"/>
      <c r="F46" s="987"/>
      <c r="G46" s="987"/>
      <c r="H46" s="987"/>
      <c r="I46" s="987"/>
      <c r="J46" s="987"/>
      <c r="K46" s="987"/>
      <c r="L46" s="987"/>
      <c r="M46" s="987"/>
      <c r="N46" s="251"/>
    </row>
    <row r="47" spans="1:14">
      <c r="A47" s="495"/>
      <c r="B47" s="317"/>
      <c r="C47" s="317" t="s">
        <v>141</v>
      </c>
      <c r="D47" s="317" t="s">
        <v>142</v>
      </c>
      <c r="E47" s="317" t="s">
        <v>143</v>
      </c>
      <c r="F47" s="317" t="s">
        <v>144</v>
      </c>
      <c r="G47" s="317" t="s">
        <v>145</v>
      </c>
      <c r="H47" s="317" t="s">
        <v>146</v>
      </c>
      <c r="I47" s="317" t="s">
        <v>147</v>
      </c>
      <c r="J47" s="317" t="s">
        <v>148</v>
      </c>
      <c r="K47" s="317" t="s">
        <v>149</v>
      </c>
      <c r="L47" s="317" t="s">
        <v>150</v>
      </c>
      <c r="M47" s="317" t="s">
        <v>988</v>
      </c>
      <c r="N47" s="251"/>
    </row>
    <row r="48" spans="1:14" s="319" customFormat="1" hidden="1">
      <c r="A48" s="318" t="s">
        <v>991</v>
      </c>
      <c r="B48" s="318"/>
      <c r="C48" s="318" t="s">
        <v>992</v>
      </c>
      <c r="D48" s="318" t="s">
        <v>993</v>
      </c>
      <c r="E48" s="318"/>
      <c r="F48" s="318" t="s">
        <v>994</v>
      </c>
      <c r="G48" s="318" t="s">
        <v>993</v>
      </c>
      <c r="H48" s="318"/>
      <c r="I48" s="318"/>
      <c r="J48" s="318" t="s">
        <v>992</v>
      </c>
      <c r="K48" s="318"/>
      <c r="L48" s="318" t="s">
        <v>995</v>
      </c>
      <c r="M48" s="318" t="s">
        <v>996</v>
      </c>
      <c r="N48" s="318"/>
    </row>
    <row r="49" spans="1:14" s="319" customFormat="1">
      <c r="A49" s="318"/>
      <c r="B49" s="496" t="s">
        <v>1021</v>
      </c>
      <c r="C49" s="497">
        <f>C11*1000000</f>
        <v>24</v>
      </c>
      <c r="D49" s="497">
        <f t="shared" ref="D49:M49" si="2">D11*1000000</f>
        <v>6</v>
      </c>
      <c r="E49" s="497">
        <f t="shared" si="2"/>
        <v>6</v>
      </c>
      <c r="F49" s="497">
        <f t="shared" si="2"/>
        <v>2</v>
      </c>
      <c r="G49" s="497">
        <f t="shared" si="2"/>
        <v>2</v>
      </c>
      <c r="H49" s="497">
        <f t="shared" si="2"/>
        <v>2</v>
      </c>
      <c r="I49" s="497">
        <f t="shared" si="2"/>
        <v>6</v>
      </c>
      <c r="J49" s="497">
        <f t="shared" si="2"/>
        <v>2</v>
      </c>
      <c r="K49" s="497">
        <f t="shared" si="2"/>
        <v>6</v>
      </c>
      <c r="L49" s="497">
        <f t="shared" si="2"/>
        <v>1</v>
      </c>
      <c r="M49" s="497">
        <f t="shared" si="2"/>
        <v>0.6</v>
      </c>
      <c r="N49" s="318"/>
    </row>
    <row r="50" spans="1:14">
      <c r="A50" s="314"/>
      <c r="B50" s="314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</row>
    <row r="51" spans="1:14" ht="15.75">
      <c r="A51" s="314" t="s">
        <v>1004</v>
      </c>
      <c r="B51" s="11"/>
      <c r="C51" s="320">
        <f t="shared" ref="C51:C60" si="3">C13*1000000</f>
        <v>535346.84037869493</v>
      </c>
      <c r="D51" s="320">
        <f t="shared" ref="D51:M51" si="4">D13*1000000</f>
        <v>39786.476504035898</v>
      </c>
      <c r="E51" s="320">
        <f t="shared" si="4"/>
        <v>204375.83742252385</v>
      </c>
      <c r="F51" s="320">
        <f t="shared" si="4"/>
        <v>421125.96196855942</v>
      </c>
      <c r="G51" s="320">
        <f t="shared" si="4"/>
        <v>201144.5820843275</v>
      </c>
      <c r="H51" s="320">
        <f>H13*1000000</f>
        <v>1357.4635438009439</v>
      </c>
      <c r="I51" s="320">
        <f t="shared" si="4"/>
        <v>5908.8618016083774</v>
      </c>
      <c r="J51" s="320">
        <f t="shared" si="4"/>
        <v>103414.49797841838</v>
      </c>
      <c r="K51" s="320">
        <f t="shared" si="4"/>
        <v>769.47505156620593</v>
      </c>
      <c r="L51" s="320">
        <f t="shared" si="4"/>
        <v>1268.1800720777956</v>
      </c>
      <c r="M51" s="320">
        <f t="shared" si="4"/>
        <v>98.762507170713462</v>
      </c>
      <c r="N51" s="320">
        <f t="shared" ref="N51" si="5">N13*1000000</f>
        <v>0</v>
      </c>
    </row>
    <row r="52" spans="1:14" ht="15.75">
      <c r="A52" s="314" t="s">
        <v>1005</v>
      </c>
      <c r="B52" s="11"/>
      <c r="C52" s="320">
        <f t="shared" si="3"/>
        <v>45676.451283149436</v>
      </c>
      <c r="D52" s="320">
        <f t="shared" ref="D52:M52" si="6">D14*1000000</f>
        <v>15336.256030312221</v>
      </c>
      <c r="E52" s="320">
        <f t="shared" si="6"/>
        <v>92920.869127648402</v>
      </c>
      <c r="F52" s="320">
        <f t="shared" si="6"/>
        <v>145488.53375917443</v>
      </c>
      <c r="G52" s="320">
        <f t="shared" si="6"/>
        <v>83541.791822254992</v>
      </c>
      <c r="H52" s="320">
        <f t="shared" si="6"/>
        <v>741.4512634796265</v>
      </c>
      <c r="I52" s="320">
        <f t="shared" si="6"/>
        <v>5076.7789538772768</v>
      </c>
      <c r="J52" s="320">
        <f t="shared" si="6"/>
        <v>13095.451136718324</v>
      </c>
      <c r="K52" s="320">
        <f t="shared" si="6"/>
        <v>747.51852738873788</v>
      </c>
      <c r="L52" s="320">
        <f t="shared" si="6"/>
        <v>468.08826924304685</v>
      </c>
      <c r="M52" s="320">
        <f t="shared" si="6"/>
        <v>21.556728035645445</v>
      </c>
      <c r="N52" s="251"/>
    </row>
    <row r="53" spans="1:14" ht="15.75">
      <c r="A53" s="314" t="s">
        <v>1006</v>
      </c>
      <c r="B53" s="11"/>
      <c r="C53" s="320">
        <f t="shared" si="3"/>
        <v>66278.381058460538</v>
      </c>
      <c r="D53" s="320">
        <f t="shared" ref="D53:M53" si="7">D15*1000000</f>
        <v>30888.200281793394</v>
      </c>
      <c r="E53" s="320">
        <f t="shared" si="7"/>
        <v>33523.024698142493</v>
      </c>
      <c r="F53" s="320">
        <f t="shared" si="7"/>
        <v>135499.65206246896</v>
      </c>
      <c r="G53" s="320">
        <f t="shared" si="7"/>
        <v>73939.866927344759</v>
      </c>
      <c r="H53" s="320">
        <f t="shared" si="7"/>
        <v>386.97829327252816</v>
      </c>
      <c r="I53" s="320">
        <f t="shared" si="7"/>
        <v>4011.579141574643</v>
      </c>
      <c r="J53" s="320">
        <f t="shared" si="7"/>
        <v>23711.628086266286</v>
      </c>
      <c r="K53" s="320">
        <f t="shared" si="7"/>
        <v>390.85988622606237</v>
      </c>
      <c r="L53" s="320">
        <f t="shared" si="7"/>
        <v>310.52389842396593</v>
      </c>
      <c r="M53" s="320">
        <f t="shared" si="7"/>
        <v>23.003336179978056</v>
      </c>
      <c r="N53" s="251"/>
    </row>
    <row r="54" spans="1:14" ht="15.75">
      <c r="A54" s="314" t="s">
        <v>1007</v>
      </c>
      <c r="B54" s="11"/>
      <c r="C54" s="320">
        <f t="shared" si="3"/>
        <v>122560.46353258178</v>
      </c>
      <c r="D54" s="320">
        <f t="shared" ref="D54:M54" si="8">D16*1000000</f>
        <v>24335.369527702966</v>
      </c>
      <c r="E54" s="320">
        <f t="shared" si="8"/>
        <v>111461.48930626953</v>
      </c>
      <c r="F54" s="320">
        <f t="shared" si="8"/>
        <v>116279.87888847165</v>
      </c>
      <c r="G54" s="320">
        <f t="shared" si="8"/>
        <v>120745.13195307198</v>
      </c>
      <c r="H54" s="320">
        <f t="shared" si="8"/>
        <v>509.60590103269203</v>
      </c>
      <c r="I54" s="320">
        <f t="shared" si="8"/>
        <v>3615.2909831964676</v>
      </c>
      <c r="J54" s="320">
        <f t="shared" si="8"/>
        <v>42846.677016118942</v>
      </c>
      <c r="K54" s="320">
        <f t="shared" si="8"/>
        <v>306.55025313604852</v>
      </c>
      <c r="L54" s="320">
        <f t="shared" si="8"/>
        <v>404.15134185597304</v>
      </c>
      <c r="M54" s="320">
        <f t="shared" si="8"/>
        <v>34.62287368664655</v>
      </c>
      <c r="N54" s="251"/>
    </row>
    <row r="55" spans="1:14" ht="15.75">
      <c r="A55" s="314" t="s">
        <v>1008</v>
      </c>
      <c r="B55" s="11"/>
      <c r="C55" s="320">
        <f t="shared" si="3"/>
        <v>944145.77527268848</v>
      </c>
      <c r="D55" s="320">
        <f t="shared" ref="D55:M55" si="9">D17*1000000</f>
        <v>19039.940048735116</v>
      </c>
      <c r="E55" s="320">
        <f t="shared" si="9"/>
        <v>32663.437805192742</v>
      </c>
      <c r="F55" s="320">
        <f t="shared" si="9"/>
        <v>168999.36933681573</v>
      </c>
      <c r="G55" s="320">
        <f t="shared" si="9"/>
        <v>146408.25650222122</v>
      </c>
      <c r="H55" s="320">
        <f t="shared" si="9"/>
        <v>645.79383978696808</v>
      </c>
      <c r="I55" s="320">
        <f t="shared" si="9"/>
        <v>10401.924838422776</v>
      </c>
      <c r="J55" s="320">
        <f t="shared" si="9"/>
        <v>26258.402838836482</v>
      </c>
      <c r="K55" s="320">
        <f t="shared" si="9"/>
        <v>834.43398325347596</v>
      </c>
      <c r="L55" s="320">
        <f t="shared" si="9"/>
        <v>298.91286800874207</v>
      </c>
      <c r="M55" s="320">
        <f t="shared" si="9"/>
        <v>46.85345591689974</v>
      </c>
      <c r="N55" s="251"/>
    </row>
    <row r="56" spans="1:14" ht="15.75">
      <c r="A56" s="314" t="s">
        <v>1009</v>
      </c>
      <c r="B56" s="11"/>
      <c r="C56" s="320">
        <f t="shared" si="3"/>
        <v>81838.993834108842</v>
      </c>
      <c r="D56" s="320">
        <f t="shared" ref="D56:M56" si="10">D18*1000000</f>
        <v>22432.545128558919</v>
      </c>
      <c r="E56" s="320">
        <f t="shared" si="10"/>
        <v>188373.42784072395</v>
      </c>
      <c r="F56" s="320">
        <f t="shared" si="10"/>
        <v>37249.49195159498</v>
      </c>
      <c r="G56" s="320">
        <f t="shared" si="10"/>
        <v>95052.655107293278</v>
      </c>
      <c r="H56" s="320">
        <f t="shared" si="10"/>
        <v>634.51835833502548</v>
      </c>
      <c r="I56" s="320">
        <f t="shared" si="10"/>
        <v>4657.3498156909291</v>
      </c>
      <c r="J56" s="320">
        <f t="shared" si="10"/>
        <v>30413.238669362421</v>
      </c>
      <c r="K56" s="320">
        <f t="shared" si="10"/>
        <v>1623.091167383013</v>
      </c>
      <c r="L56" s="320">
        <f t="shared" si="10"/>
        <v>306.36243674029151</v>
      </c>
      <c r="M56" s="320">
        <f t="shared" si="10"/>
        <v>23.630061768619488</v>
      </c>
      <c r="N56" s="251"/>
    </row>
    <row r="57" spans="1:14" ht="15.75">
      <c r="A57" s="314" t="s">
        <v>1010</v>
      </c>
      <c r="B57" s="11"/>
      <c r="C57" s="320">
        <f t="shared" si="3"/>
        <v>65496.831512648678</v>
      </c>
      <c r="D57" s="320">
        <f t="shared" ref="D57:M57" si="11">D19*1000000</f>
        <v>23521.731616881596</v>
      </c>
      <c r="E57" s="320">
        <f t="shared" si="11"/>
        <v>740449.51271309762</v>
      </c>
      <c r="F57" s="320">
        <f t="shared" si="11"/>
        <v>51311.640126467719</v>
      </c>
      <c r="G57" s="320">
        <f t="shared" si="11"/>
        <v>130255.10140471061</v>
      </c>
      <c r="H57" s="320">
        <f t="shared" si="11"/>
        <v>1206.2124377800694</v>
      </c>
      <c r="I57" s="320">
        <f t="shared" si="11"/>
        <v>4589.1995651047901</v>
      </c>
      <c r="J57" s="320">
        <f t="shared" si="11"/>
        <v>25181.015769742095</v>
      </c>
      <c r="K57" s="320">
        <f t="shared" si="11"/>
        <v>1108.6795239027986</v>
      </c>
      <c r="L57" s="320">
        <f t="shared" si="11"/>
        <v>830.30091739781631</v>
      </c>
      <c r="M57" s="320">
        <f t="shared" si="11"/>
        <v>24.095501815608028</v>
      </c>
      <c r="N57" s="251"/>
    </row>
    <row r="58" spans="1:14" ht="15.75">
      <c r="A58" s="314" t="s">
        <v>1011</v>
      </c>
      <c r="B58" s="11"/>
      <c r="C58" s="320">
        <f t="shared" si="3"/>
        <v>55598.486924797493</v>
      </c>
      <c r="D58" s="320">
        <f t="shared" ref="D58:M58" si="12">D20*1000000</f>
        <v>6299.0956995275237</v>
      </c>
      <c r="E58" s="320">
        <f t="shared" si="12"/>
        <v>101596.10291519514</v>
      </c>
      <c r="F58" s="320">
        <f t="shared" si="12"/>
        <v>80375.339277943582</v>
      </c>
      <c r="G58" s="320">
        <f t="shared" si="12"/>
        <v>43490.566163070791</v>
      </c>
      <c r="H58" s="320">
        <f t="shared" si="12"/>
        <v>805.28238650063088</v>
      </c>
      <c r="I58" s="320">
        <f t="shared" si="12"/>
        <v>3416.7400951153072</v>
      </c>
      <c r="J58" s="320">
        <f t="shared" si="12"/>
        <v>15316.717009769396</v>
      </c>
      <c r="K58" s="320">
        <f t="shared" si="12"/>
        <v>382.15958914278235</v>
      </c>
      <c r="L58" s="320">
        <f t="shared" si="12"/>
        <v>315.63711830572231</v>
      </c>
      <c r="M58" s="320">
        <f t="shared" si="12"/>
        <v>25.515536990479479</v>
      </c>
      <c r="N58" s="251"/>
    </row>
    <row r="59" spans="1:14" ht="15.75">
      <c r="A59" s="314" t="s">
        <v>1012</v>
      </c>
      <c r="B59" s="43"/>
      <c r="C59" s="320">
        <f t="shared" si="3"/>
        <v>34037.311026773299</v>
      </c>
      <c r="D59" s="320">
        <f t="shared" ref="D59:M59" si="13">D21*1000000</f>
        <v>6856.8545067651739</v>
      </c>
      <c r="E59" s="320">
        <f t="shared" si="13"/>
        <v>38858.760560089788</v>
      </c>
      <c r="F59" s="320">
        <f t="shared" si="13"/>
        <v>25227.331274563916</v>
      </c>
      <c r="G59" s="320">
        <f t="shared" si="13"/>
        <v>26710.876256551714</v>
      </c>
      <c r="H59" s="320">
        <f t="shared" si="13"/>
        <v>605.33391733467909</v>
      </c>
      <c r="I59" s="320">
        <f t="shared" si="13"/>
        <v>7908.983947945123</v>
      </c>
      <c r="J59" s="320">
        <f t="shared" si="13"/>
        <v>2152.9421957295935</v>
      </c>
      <c r="K59" s="320">
        <f t="shared" si="13"/>
        <v>66.059998335030116</v>
      </c>
      <c r="L59" s="320">
        <f t="shared" si="13"/>
        <v>108.58832969201499</v>
      </c>
      <c r="M59" s="320">
        <f t="shared" si="13"/>
        <v>0</v>
      </c>
      <c r="N59" s="251"/>
    </row>
    <row r="60" spans="1:14" ht="15.75">
      <c r="A60" s="314" t="s">
        <v>1013</v>
      </c>
      <c r="B60" s="11"/>
      <c r="C60" s="320">
        <f t="shared" si="3"/>
        <v>32866.635377207502</v>
      </c>
      <c r="D60" s="320">
        <f t="shared" ref="D60:M60" si="14">D22*1000000</f>
        <v>10088.880255968326</v>
      </c>
      <c r="E60" s="320">
        <f t="shared" si="14"/>
        <v>23971.99239682209</v>
      </c>
      <c r="F60" s="320">
        <f t="shared" si="14"/>
        <v>85301.716396440257</v>
      </c>
      <c r="G60" s="320">
        <f t="shared" si="14"/>
        <v>85623.581311359827</v>
      </c>
      <c r="H60" s="320">
        <f t="shared" si="14"/>
        <v>770.49259792997827</v>
      </c>
      <c r="I60" s="320">
        <f t="shared" si="14"/>
        <v>3047.5320526345949</v>
      </c>
      <c r="J60" s="320">
        <f t="shared" si="14"/>
        <v>13137.018479942679</v>
      </c>
      <c r="K60" s="320">
        <f t="shared" si="14"/>
        <v>10490.984126928288</v>
      </c>
      <c r="L60" s="320">
        <f t="shared" si="14"/>
        <v>309.71194867994581</v>
      </c>
      <c r="M60" s="320">
        <f t="shared" si="14"/>
        <v>0</v>
      </c>
      <c r="N60" s="251"/>
    </row>
    <row r="61" spans="1:14" ht="15" customHeight="1">
      <c r="A61" s="314"/>
      <c r="B61" s="11"/>
      <c r="C61" s="320"/>
      <c r="D61" s="320"/>
      <c r="E61" s="320"/>
      <c r="F61" s="320"/>
      <c r="G61" s="320"/>
      <c r="H61" s="320"/>
      <c r="I61" s="320"/>
      <c r="J61" s="320"/>
      <c r="K61" s="320"/>
      <c r="L61" s="320"/>
      <c r="M61" s="320"/>
      <c r="N61" s="251"/>
    </row>
    <row r="62" spans="1:14" ht="15" customHeight="1">
      <c r="A62" s="314">
        <f t="shared" ref="A62:A71" si="15">A30</f>
        <v>278</v>
      </c>
      <c r="B62" s="11"/>
      <c r="C62" s="320">
        <f t="shared" ref="C62:D71" si="16">C30*1000000</f>
        <v>8024.9999999999991</v>
      </c>
      <c r="D62" s="320">
        <f t="shared" si="16"/>
        <v>12207</v>
      </c>
      <c r="E62" s="320">
        <f t="shared" ref="E62:M62" si="17">E30*1000000</f>
        <v>7449</v>
      </c>
      <c r="F62" s="320">
        <f t="shared" si="17"/>
        <v>352350</v>
      </c>
      <c r="G62" s="320">
        <f t="shared" si="17"/>
        <v>67550</v>
      </c>
      <c r="H62" s="320">
        <f t="shared" si="17"/>
        <v>320</v>
      </c>
      <c r="I62" s="320">
        <f t="shared" si="17"/>
        <v>609</v>
      </c>
      <c r="J62" s="320">
        <f t="shared" si="17"/>
        <v>11768</v>
      </c>
      <c r="K62" s="320">
        <f t="shared" si="17"/>
        <v>778</v>
      </c>
      <c r="L62" s="320">
        <f t="shared" si="17"/>
        <v>2520</v>
      </c>
      <c r="M62" s="320">
        <f t="shared" si="17"/>
        <v>78</v>
      </c>
      <c r="N62" s="251"/>
    </row>
    <row r="63" spans="1:14" ht="15" customHeight="1">
      <c r="A63" s="314">
        <f t="shared" si="15"/>
        <v>279</v>
      </c>
      <c r="B63" s="11"/>
      <c r="C63" s="320">
        <f t="shared" si="16"/>
        <v>17185</v>
      </c>
      <c r="D63" s="320">
        <f t="shared" si="16"/>
        <v>8347</v>
      </c>
      <c r="E63" s="320">
        <f t="shared" ref="E63:M63" si="18">E31*1000000</f>
        <v>984.00000000000011</v>
      </c>
      <c r="F63" s="320">
        <f t="shared" si="18"/>
        <v>174800</v>
      </c>
      <c r="G63" s="320">
        <f t="shared" si="18"/>
        <v>97198</v>
      </c>
      <c r="H63" s="320">
        <f t="shared" si="18"/>
        <v>316</v>
      </c>
      <c r="I63" s="320">
        <f t="shared" si="18"/>
        <v>727</v>
      </c>
      <c r="J63" s="320">
        <f t="shared" si="18"/>
        <v>30620</v>
      </c>
      <c r="K63" s="320">
        <f t="shared" si="18"/>
        <v>1760</v>
      </c>
      <c r="L63" s="320">
        <f t="shared" si="18"/>
        <v>2056</v>
      </c>
      <c r="M63" s="320">
        <f t="shared" si="18"/>
        <v>60</v>
      </c>
      <c r="N63" s="251"/>
    </row>
    <row r="64" spans="1:14" ht="15" customHeight="1">
      <c r="A64" s="314">
        <f t="shared" si="15"/>
        <v>280</v>
      </c>
      <c r="B64" s="11"/>
      <c r="C64" s="320">
        <f t="shared" si="16"/>
        <v>14829</v>
      </c>
      <c r="D64" s="320">
        <f t="shared" si="16"/>
        <v>7121</v>
      </c>
      <c r="E64" s="320">
        <f t="shared" ref="E64:M64" si="19">E32*1000000</f>
        <v>3642</v>
      </c>
      <c r="F64" s="320">
        <f t="shared" si="19"/>
        <v>164210</v>
      </c>
      <c r="G64" s="320">
        <f t="shared" si="19"/>
        <v>99279</v>
      </c>
      <c r="H64" s="320">
        <f t="shared" si="19"/>
        <v>309</v>
      </c>
      <c r="I64" s="320">
        <f t="shared" si="19"/>
        <v>544</v>
      </c>
      <c r="J64" s="320">
        <f t="shared" si="19"/>
        <v>28738</v>
      </c>
      <c r="K64" s="320">
        <f t="shared" si="19"/>
        <v>2301</v>
      </c>
      <c r="L64" s="320">
        <f t="shared" si="19"/>
        <v>1524</v>
      </c>
      <c r="M64" s="320">
        <f t="shared" si="19"/>
        <v>53</v>
      </c>
      <c r="N64" s="251"/>
    </row>
    <row r="65" spans="1:17" ht="15" customHeight="1">
      <c r="A65" s="314">
        <f t="shared" si="15"/>
        <v>281</v>
      </c>
      <c r="B65" s="11"/>
      <c r="C65" s="320">
        <f t="shared" si="16"/>
        <v>67085</v>
      </c>
      <c r="D65" s="320">
        <f t="shared" si="16"/>
        <v>16330</v>
      </c>
      <c r="E65" s="320">
        <f t="shared" ref="E65:M65" si="20">E33*1000000</f>
        <v>2833</v>
      </c>
      <c r="F65" s="320">
        <f t="shared" si="20"/>
        <v>253699.99999999997</v>
      </c>
      <c r="G65" s="320">
        <f t="shared" si="20"/>
        <v>185341</v>
      </c>
      <c r="H65" s="320">
        <f t="shared" si="20"/>
        <v>382</v>
      </c>
      <c r="I65" s="320">
        <f t="shared" si="20"/>
        <v>454</v>
      </c>
      <c r="J65" s="320">
        <f t="shared" si="20"/>
        <v>38190</v>
      </c>
      <c r="K65" s="320">
        <f t="shared" si="20"/>
        <v>1893</v>
      </c>
      <c r="L65" s="320">
        <f t="shared" si="20"/>
        <v>2245</v>
      </c>
      <c r="M65" s="320">
        <f t="shared" si="20"/>
        <v>90</v>
      </c>
      <c r="N65" s="251"/>
    </row>
    <row r="66" spans="1:17" ht="15" customHeight="1">
      <c r="A66" s="314">
        <f t="shared" si="15"/>
        <v>282</v>
      </c>
      <c r="B66" s="11"/>
      <c r="C66" s="320">
        <f t="shared" si="16"/>
        <v>112399</v>
      </c>
      <c r="D66" s="320">
        <f t="shared" si="16"/>
        <v>25829</v>
      </c>
      <c r="E66" s="320">
        <f t="shared" ref="E66:M66" si="21">E34*1000000</f>
        <v>794</v>
      </c>
      <c r="F66" s="320">
        <f t="shared" si="21"/>
        <v>1804880</v>
      </c>
      <c r="G66" s="320">
        <f t="shared" si="21"/>
        <v>141915</v>
      </c>
      <c r="H66" s="320">
        <f t="shared" si="21"/>
        <v>199</v>
      </c>
      <c r="I66" s="320">
        <f t="shared" si="21"/>
        <v>473</v>
      </c>
      <c r="J66" s="320">
        <f t="shared" si="21"/>
        <v>50905</v>
      </c>
      <c r="K66" s="320">
        <f t="shared" si="21"/>
        <v>435</v>
      </c>
      <c r="L66" s="320">
        <f t="shared" si="21"/>
        <v>1878</v>
      </c>
      <c r="M66" s="320">
        <f t="shared" si="21"/>
        <v>74</v>
      </c>
      <c r="N66" s="251"/>
    </row>
    <row r="67" spans="1:17" ht="15" customHeight="1">
      <c r="A67" s="314">
        <f t="shared" si="15"/>
        <v>283</v>
      </c>
      <c r="B67" s="11"/>
      <c r="C67" s="320">
        <f t="shared" si="16"/>
        <v>75687</v>
      </c>
      <c r="D67" s="320">
        <f t="shared" si="16"/>
        <v>28310</v>
      </c>
      <c r="E67" s="320">
        <f t="shared" ref="E67:M67" si="22">E35*1000000</f>
        <v>636</v>
      </c>
      <c r="F67" s="320">
        <f t="shared" si="22"/>
        <v>1082540</v>
      </c>
      <c r="G67" s="320">
        <f t="shared" si="22"/>
        <v>214090</v>
      </c>
      <c r="H67" s="320">
        <f t="shared" si="22"/>
        <v>655</v>
      </c>
      <c r="I67" s="320">
        <f t="shared" si="22"/>
        <v>867</v>
      </c>
      <c r="J67" s="320">
        <f t="shared" si="22"/>
        <v>48589</v>
      </c>
      <c r="K67" s="320">
        <f t="shared" si="22"/>
        <v>435</v>
      </c>
      <c r="L67" s="320">
        <f t="shared" si="22"/>
        <v>1909</v>
      </c>
      <c r="M67" s="320">
        <f t="shared" si="22"/>
        <v>84</v>
      </c>
      <c r="N67" s="251"/>
    </row>
    <row r="68" spans="1:17" ht="15" customHeight="1">
      <c r="A68" s="314">
        <f t="shared" si="15"/>
        <v>302</v>
      </c>
      <c r="B68" s="11"/>
      <c r="C68" s="320">
        <f t="shared" si="16"/>
        <v>725</v>
      </c>
      <c r="D68" s="320">
        <f t="shared" si="16"/>
        <v>2656</v>
      </c>
      <c r="E68" s="320">
        <f t="shared" ref="E68:M68" si="23">E36*1000000</f>
        <v>12156</v>
      </c>
      <c r="F68" s="320">
        <f t="shared" si="23"/>
        <v>87990</v>
      </c>
      <c r="G68" s="320">
        <f t="shared" si="23"/>
        <v>7383</v>
      </c>
      <c r="H68" s="320">
        <f t="shared" si="23"/>
        <v>140</v>
      </c>
      <c r="I68" s="320">
        <f t="shared" si="23"/>
        <v>579</v>
      </c>
      <c r="J68" s="320">
        <f t="shared" si="23"/>
        <v>543</v>
      </c>
      <c r="K68" s="320">
        <f t="shared" si="23"/>
        <v>41</v>
      </c>
      <c r="L68" s="320">
        <f t="shared" si="23"/>
        <v>619</v>
      </c>
      <c r="M68" s="320">
        <f t="shared" si="23"/>
        <v>12</v>
      </c>
      <c r="N68" s="251"/>
    </row>
    <row r="69" spans="1:17" ht="15" customHeight="1">
      <c r="A69" s="314">
        <f t="shared" si="15"/>
        <v>306</v>
      </c>
      <c r="B69" s="11"/>
      <c r="C69" s="320">
        <f t="shared" si="16"/>
        <v>11353</v>
      </c>
      <c r="D69" s="320">
        <f t="shared" si="16"/>
        <v>13563</v>
      </c>
      <c r="E69" s="320">
        <f t="shared" ref="E69:M69" si="24">E37*1000000</f>
        <v>24303</v>
      </c>
      <c r="F69" s="320">
        <f t="shared" si="24"/>
        <v>156690</v>
      </c>
      <c r="G69" s="320">
        <f t="shared" si="24"/>
        <v>51131</v>
      </c>
      <c r="H69" s="320">
        <f t="shared" si="24"/>
        <v>448</v>
      </c>
      <c r="I69" s="320">
        <f t="shared" si="24"/>
        <v>626</v>
      </c>
      <c r="J69" s="320">
        <f t="shared" si="24"/>
        <v>7327</v>
      </c>
      <c r="K69" s="320">
        <f t="shared" si="24"/>
        <v>547</v>
      </c>
      <c r="L69" s="320">
        <f t="shared" si="24"/>
        <v>871</v>
      </c>
      <c r="M69" s="320">
        <f t="shared" si="24"/>
        <v>33</v>
      </c>
      <c r="N69" s="251"/>
    </row>
    <row r="70" spans="1:17" ht="15.75">
      <c r="A70" s="314">
        <f t="shared" si="15"/>
        <v>307</v>
      </c>
      <c r="B70" s="11"/>
      <c r="C70" s="320">
        <f t="shared" si="16"/>
        <v>11893</v>
      </c>
      <c r="D70" s="320">
        <f t="shared" si="16"/>
        <v>14757</v>
      </c>
      <c r="E70" s="320">
        <f t="shared" ref="E70:M70" si="25">E38*1000000</f>
        <v>20591</v>
      </c>
      <c r="F70" s="320">
        <f t="shared" si="25"/>
        <v>165980</v>
      </c>
      <c r="G70" s="320">
        <f t="shared" si="25"/>
        <v>55855</v>
      </c>
      <c r="H70" s="320">
        <f t="shared" si="25"/>
        <v>441</v>
      </c>
      <c r="I70" s="320">
        <f t="shared" si="25"/>
        <v>623</v>
      </c>
      <c r="J70" s="320">
        <f t="shared" si="25"/>
        <v>8038</v>
      </c>
      <c r="K70" s="320">
        <f t="shared" si="25"/>
        <v>465</v>
      </c>
      <c r="L70" s="320">
        <f t="shared" si="25"/>
        <v>955</v>
      </c>
      <c r="M70" s="320">
        <f t="shared" si="25"/>
        <v>42</v>
      </c>
      <c r="N70" s="251"/>
    </row>
    <row r="71" spans="1:17" ht="15.75">
      <c r="A71" s="314">
        <f t="shared" si="15"/>
        <v>275</v>
      </c>
      <c r="B71" s="11"/>
      <c r="C71" s="320">
        <f t="shared" si="16"/>
        <v>16001.000000000002</v>
      </c>
      <c r="D71" s="320">
        <f t="shared" si="16"/>
        <v>19609</v>
      </c>
      <c r="E71" s="320">
        <f t="shared" ref="E71:M71" si="26">E39*1000000</f>
        <v>4689</v>
      </c>
      <c r="F71" s="320">
        <f t="shared" si="26"/>
        <v>181340</v>
      </c>
      <c r="G71" s="320">
        <f t="shared" si="26"/>
        <v>53961</v>
      </c>
      <c r="H71" s="320">
        <f t="shared" si="26"/>
        <v>199</v>
      </c>
      <c r="I71" s="320">
        <f t="shared" si="26"/>
        <v>486</v>
      </c>
      <c r="J71" s="320">
        <f t="shared" si="26"/>
        <v>15968</v>
      </c>
      <c r="K71" s="320">
        <f t="shared" si="26"/>
        <v>349</v>
      </c>
      <c r="L71" s="320">
        <f t="shared" si="26"/>
        <v>754</v>
      </c>
      <c r="M71" s="320">
        <f t="shared" si="26"/>
        <v>26</v>
      </c>
      <c r="N71" s="251"/>
    </row>
    <row r="72" spans="1:17" ht="13.15" customHeight="1">
      <c r="A72" s="314"/>
      <c r="B72" s="314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</row>
    <row r="73" spans="1:17" ht="19.899999999999999" customHeight="1">
      <c r="A73" s="495"/>
      <c r="B73" s="495"/>
      <c r="C73" s="987" t="s">
        <v>1022</v>
      </c>
      <c r="D73" s="987"/>
      <c r="E73" s="987"/>
      <c r="F73" s="987"/>
      <c r="G73" s="987"/>
      <c r="H73" s="987"/>
      <c r="I73" s="987"/>
      <c r="J73" s="987"/>
      <c r="K73" s="987"/>
      <c r="L73" s="987"/>
      <c r="M73" s="987"/>
      <c r="N73" s="251"/>
    </row>
    <row r="74" spans="1:17" ht="19.899999999999999" customHeight="1">
      <c r="A74" s="495"/>
      <c r="B74" s="317"/>
      <c r="C74" s="317" t="s">
        <v>141</v>
      </c>
      <c r="D74" s="317" t="s">
        <v>142</v>
      </c>
      <c r="E74" s="317" t="s">
        <v>143</v>
      </c>
      <c r="F74" s="317" t="s">
        <v>144</v>
      </c>
      <c r="G74" s="317" t="s">
        <v>145</v>
      </c>
      <c r="H74" s="317" t="s">
        <v>146</v>
      </c>
      <c r="I74" s="317" t="s">
        <v>147</v>
      </c>
      <c r="J74" s="317" t="s">
        <v>148</v>
      </c>
      <c r="K74" s="317" t="s">
        <v>149</v>
      </c>
      <c r="L74" s="317" t="s">
        <v>150</v>
      </c>
      <c r="M74" s="317" t="s">
        <v>988</v>
      </c>
      <c r="N74" s="251"/>
    </row>
    <row r="75" spans="1:17" s="319" customFormat="1" hidden="1">
      <c r="A75" s="318" t="s">
        <v>1023</v>
      </c>
      <c r="B75" s="318"/>
      <c r="C75" s="318" t="s">
        <v>992</v>
      </c>
      <c r="D75" s="318" t="s">
        <v>993</v>
      </c>
      <c r="E75" s="318"/>
      <c r="F75" s="318" t="s">
        <v>994</v>
      </c>
      <c r="G75" s="318" t="s">
        <v>993</v>
      </c>
      <c r="H75" s="318"/>
      <c r="I75" s="318"/>
      <c r="J75" s="318" t="s">
        <v>992</v>
      </c>
      <c r="K75" s="318"/>
      <c r="L75" s="318" t="s">
        <v>995</v>
      </c>
      <c r="M75" s="318" t="s">
        <v>996</v>
      </c>
      <c r="N75" s="318"/>
    </row>
    <row r="76" spans="1:17" s="319" customFormat="1">
      <c r="A76" s="318"/>
      <c r="B76" s="493" t="s">
        <v>1024</v>
      </c>
      <c r="C76" s="318">
        <f>C49*C7</f>
        <v>6.3685199999999999E-3</v>
      </c>
      <c r="D76" s="318">
        <f t="shared" ref="D76:K76" si="27">D49*D7</f>
        <v>2.2581599999999999E-3</v>
      </c>
      <c r="E76" s="318">
        <f t="shared" si="27"/>
        <v>7.3272000000000007E-4</v>
      </c>
      <c r="F76" s="318">
        <f t="shared" si="27"/>
        <v>2.4622000000000001E-4</v>
      </c>
      <c r="G76" s="318">
        <f t="shared" si="27"/>
        <v>4.3846E-4</v>
      </c>
      <c r="H76" s="318">
        <f t="shared" si="27"/>
        <v>3.3431999999999998E-4</v>
      </c>
      <c r="I76" s="318">
        <f t="shared" si="27"/>
        <v>1.0091759999999999E-3</v>
      </c>
      <c r="J76" s="318">
        <f t="shared" si="27"/>
        <v>3.3836000000000001E-4</v>
      </c>
      <c r="K76" s="318">
        <f t="shared" si="27"/>
        <v>1.4658600000000003E-3</v>
      </c>
      <c r="L76" s="318">
        <f>L49*L7*1000</f>
        <v>0.44140000000000001</v>
      </c>
      <c r="M76" s="318">
        <f>M49*M7*1000</f>
        <v>0.81322800000000017</v>
      </c>
      <c r="N76" s="318"/>
    </row>
    <row r="77" spans="1:17" s="636" customFormat="1">
      <c r="A77" s="634" t="s">
        <v>1025</v>
      </c>
      <c r="B77" s="634"/>
      <c r="C77" s="634" t="s">
        <v>189</v>
      </c>
      <c r="D77" s="634" t="s">
        <v>190</v>
      </c>
      <c r="E77" s="634"/>
      <c r="F77" s="634" t="s">
        <v>191</v>
      </c>
      <c r="G77" s="634" t="s">
        <v>192</v>
      </c>
      <c r="H77" s="634"/>
      <c r="I77" s="634"/>
      <c r="J77" s="634" t="s">
        <v>193</v>
      </c>
      <c r="K77" s="634"/>
      <c r="L77" s="634" t="s">
        <v>194</v>
      </c>
      <c r="M77" s="635" t="s">
        <v>195</v>
      </c>
      <c r="N77" s="634"/>
      <c r="P77" s="636" t="s">
        <v>1026</v>
      </c>
      <c r="Q77" s="636" t="s">
        <v>1027</v>
      </c>
    </row>
    <row r="78" spans="1:17">
      <c r="A78" s="251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 t="s">
        <v>1028</v>
      </c>
      <c r="M78" s="251" t="s">
        <v>1028</v>
      </c>
      <c r="N78" s="251"/>
      <c r="P78" s="315" t="s">
        <v>195</v>
      </c>
      <c r="Q78" s="315" t="s">
        <v>194</v>
      </c>
    </row>
    <row r="79" spans="1:17" s="625" customFormat="1" ht="15.75">
      <c r="A79" s="620" t="s">
        <v>1004</v>
      </c>
      <c r="B79" s="130"/>
      <c r="C79" s="622">
        <f>C51*$C$7</f>
        <v>142.0569608286886</v>
      </c>
      <c r="D79" s="622">
        <f t="shared" ref="D79:D88" si="28">D51*$D$7</f>
        <v>14.97403829705895</v>
      </c>
      <c r="E79" s="622">
        <f t="shared" ref="E79:E88" si="29">E51*$E$7</f>
        <v>24.958377266038614</v>
      </c>
      <c r="F79" s="622">
        <f t="shared" ref="F79:F88" si="30">F51*$F$7</f>
        <v>51.844817177949352</v>
      </c>
      <c r="G79" s="622">
        <f t="shared" ref="G79:G88" si="31">G51*$G$7</f>
        <v>44.096926730347114</v>
      </c>
      <c r="H79" s="622">
        <f>H51*$H$7</f>
        <v>0.22691360598176577</v>
      </c>
      <c r="I79" s="622">
        <f t="shared" ref="I79:I88" si="32">I51*$I$7</f>
        <v>0.99384691958332261</v>
      </c>
      <c r="J79" s="622">
        <f t="shared" ref="J79:J88" si="33">J51*$J$7</f>
        <v>17.495664767988821</v>
      </c>
      <c r="K79" s="622">
        <f t="shared" ref="K79:K88" si="34">K51*$K$7</f>
        <v>0.18799044984813978</v>
      </c>
      <c r="L79" s="622">
        <f>L51*$L$7*1000</f>
        <v>559.77468381513893</v>
      </c>
      <c r="M79" s="622">
        <f t="shared" ref="M79:M88" si="35">M51*$M$7*1000</f>
        <v>133.86072696904165</v>
      </c>
      <c r="N79" s="624"/>
    </row>
    <row r="80" spans="1:17" s="625" customFormat="1" ht="15.75">
      <c r="A80" s="620" t="s">
        <v>1005</v>
      </c>
      <c r="B80" s="130"/>
      <c r="C80" s="622">
        <f t="shared" ref="C80:C88" si="36">C52*$C$7</f>
        <v>12.120474730240119</v>
      </c>
      <c r="D80" s="623">
        <f t="shared" si="28"/>
        <v>5.7719533195683077</v>
      </c>
      <c r="E80" s="622">
        <f t="shared" si="29"/>
        <v>11.347496537868423</v>
      </c>
      <c r="F80" s="622">
        <f t="shared" si="30"/>
        <v>17.911093391091963</v>
      </c>
      <c r="G80" s="622">
        <f t="shared" si="31"/>
        <v>18.314867021192963</v>
      </c>
      <c r="H80" s="622">
        <f t="shared" ref="H80:H88" si="37">H52*$H$7</f>
        <v>0.12394099320325436</v>
      </c>
      <c r="I80" s="622">
        <f t="shared" si="32"/>
        <v>0.85389391292634242</v>
      </c>
      <c r="J80" s="622">
        <f t="shared" si="33"/>
        <v>2.2154884233100063</v>
      </c>
      <c r="K80" s="622">
        <f t="shared" si="34"/>
        <v>0.18262625142634256</v>
      </c>
      <c r="L80" s="623">
        <f t="shared" ref="L80:L88" si="38">L52*$L$7*1000</f>
        <v>206.6141620438809</v>
      </c>
      <c r="M80" s="623">
        <f t="shared" si="35"/>
        <v>29.21755804495313</v>
      </c>
      <c r="N80" s="624"/>
    </row>
    <row r="81" spans="1:14" s="625" customFormat="1" ht="15.75">
      <c r="A81" s="620" t="s">
        <v>1006</v>
      </c>
      <c r="B81" s="130"/>
      <c r="C81" s="622">
        <f t="shared" si="36"/>
        <v>17.587299805767795</v>
      </c>
      <c r="D81" s="627">
        <f t="shared" si="28"/>
        <v>11.625083058055761</v>
      </c>
      <c r="E81" s="622">
        <f t="shared" si="29"/>
        <v>4.0938317761371614</v>
      </c>
      <c r="F81" s="622">
        <f t="shared" si="30"/>
        <v>16.681362165410555</v>
      </c>
      <c r="G81" s="622">
        <f t="shared" si="31"/>
        <v>16.209837026481793</v>
      </c>
      <c r="H81" s="622">
        <f t="shared" si="37"/>
        <v>6.4687291503435801E-2</v>
      </c>
      <c r="I81" s="622">
        <f t="shared" si="32"/>
        <v>0.67473156529628864</v>
      </c>
      <c r="J81" s="622">
        <f t="shared" si="33"/>
        <v>4.01153323963453</v>
      </c>
      <c r="K81" s="622">
        <f t="shared" si="34"/>
        <v>9.5490978803889306E-2</v>
      </c>
      <c r="L81" s="623">
        <f t="shared" si="38"/>
        <v>137.06524876433858</v>
      </c>
      <c r="M81" s="623">
        <f t="shared" si="35"/>
        <v>31.178261791618663</v>
      </c>
      <c r="N81" s="624"/>
    </row>
    <row r="82" spans="1:14" s="625" customFormat="1" ht="15.75">
      <c r="A82" s="620" t="s">
        <v>1007</v>
      </c>
      <c r="B82" s="130"/>
      <c r="C82" s="622">
        <f t="shared" si="36"/>
        <v>32.522031800688239</v>
      </c>
      <c r="D82" s="627">
        <f t="shared" si="28"/>
        <v>9.1588596754462888</v>
      </c>
      <c r="E82" s="622">
        <f t="shared" si="29"/>
        <v>13.611677074081635</v>
      </c>
      <c r="F82" s="623">
        <f t="shared" si="30"/>
        <v>14.315215889959745</v>
      </c>
      <c r="G82" s="622">
        <f t="shared" si="31"/>
        <v>26.470955278071969</v>
      </c>
      <c r="H82" s="622">
        <f t="shared" si="37"/>
        <v>8.5185722416624796E-2</v>
      </c>
      <c r="I82" s="622">
        <f t="shared" si="32"/>
        <v>0.60807748220971303</v>
      </c>
      <c r="J82" s="622">
        <f t="shared" si="33"/>
        <v>7.2488008175870027</v>
      </c>
      <c r="K82" s="622">
        <f t="shared" si="34"/>
        <v>7.4893292343668025E-2</v>
      </c>
      <c r="L82" s="623">
        <f t="shared" si="38"/>
        <v>178.39240229522647</v>
      </c>
      <c r="M82" s="622">
        <f t="shared" si="35"/>
        <v>46.927150537407009</v>
      </c>
      <c r="N82" s="624"/>
    </row>
    <row r="83" spans="1:14" s="625" customFormat="1" ht="15.75">
      <c r="A83" s="620" t="s">
        <v>1008</v>
      </c>
      <c r="B83" s="130"/>
      <c r="C83" s="622">
        <f t="shared" si="36"/>
        <v>250.53380219748425</v>
      </c>
      <c r="D83" s="627">
        <f t="shared" si="28"/>
        <v>7.1658718367419487</v>
      </c>
      <c r="E83" s="622">
        <f t="shared" si="29"/>
        <v>3.9888590247701377</v>
      </c>
      <c r="F83" s="622">
        <f t="shared" si="30"/>
        <v>20.805512359055385</v>
      </c>
      <c r="G83" s="622">
        <f t="shared" si="31"/>
        <v>32.097082072981955</v>
      </c>
      <c r="H83" s="622">
        <f t="shared" si="37"/>
        <v>0.10795089825878958</v>
      </c>
      <c r="I83" s="622">
        <f t="shared" si="32"/>
        <v>1.7495621501233571</v>
      </c>
      <c r="J83" s="622">
        <f t="shared" si="33"/>
        <v>4.4423965922743562</v>
      </c>
      <c r="K83" s="622">
        <f t="shared" si="34"/>
        <v>0.20386056644865674</v>
      </c>
      <c r="L83" s="623">
        <f t="shared" si="38"/>
        <v>131.94013993905875</v>
      </c>
      <c r="M83" s="622">
        <f t="shared" si="35"/>
        <v>63.504237080647577</v>
      </c>
      <c r="N83" s="624"/>
    </row>
    <row r="84" spans="1:14" s="324" customFormat="1" ht="15.75">
      <c r="A84" s="321" t="s">
        <v>1009</v>
      </c>
      <c r="B84" s="13"/>
      <c r="C84" s="322">
        <f t="shared" si="36"/>
        <v>21.716386208849951</v>
      </c>
      <c r="D84" s="614">
        <f t="shared" si="28"/>
        <v>8.4427126845844356</v>
      </c>
      <c r="E84" s="322">
        <f t="shared" si="29"/>
        <v>23.004163007909209</v>
      </c>
      <c r="F84" s="489">
        <f t="shared" si="30"/>
        <v>4.5857849541608582</v>
      </c>
      <c r="G84" s="322">
        <f t="shared" si="31"/>
        <v>20.838393579171907</v>
      </c>
      <c r="H84" s="322">
        <f t="shared" si="37"/>
        <v>0.10606608877928285</v>
      </c>
      <c r="I84" s="322">
        <f t="shared" si="32"/>
        <v>0.78334760959995142</v>
      </c>
      <c r="J84" s="322">
        <f t="shared" si="33"/>
        <v>5.1453117180827341</v>
      </c>
      <c r="K84" s="322">
        <f t="shared" si="34"/>
        <v>0.39653740310334396</v>
      </c>
      <c r="L84" s="489">
        <f t="shared" si="38"/>
        <v>135.22837957716465</v>
      </c>
      <c r="M84" s="489">
        <f t="shared" si="35"/>
        <v>32.027713119951486</v>
      </c>
      <c r="N84" s="323"/>
    </row>
    <row r="85" spans="1:14" s="324" customFormat="1" ht="15.75">
      <c r="A85" s="321" t="s">
        <v>1010</v>
      </c>
      <c r="B85" s="13"/>
      <c r="C85" s="322">
        <f t="shared" si="36"/>
        <v>17.379911726038891</v>
      </c>
      <c r="D85" s="614">
        <f t="shared" si="28"/>
        <v>8.8526389113295583</v>
      </c>
      <c r="E85" s="322">
        <f t="shared" si="29"/>
        <v>90.423694492523481</v>
      </c>
      <c r="F85" s="489">
        <f t="shared" si="30"/>
        <v>6.3169760159694412</v>
      </c>
      <c r="G85" s="322">
        <f t="shared" si="31"/>
        <v>28.555825880954707</v>
      </c>
      <c r="H85" s="322">
        <f t="shared" si="37"/>
        <v>0.20163047109931639</v>
      </c>
      <c r="I85" s="322">
        <f t="shared" si="32"/>
        <v>0.77188501005236521</v>
      </c>
      <c r="J85" s="322">
        <f t="shared" si="33"/>
        <v>4.2601242479249679</v>
      </c>
      <c r="K85" s="322">
        <f t="shared" si="34"/>
        <v>0.27086149448469277</v>
      </c>
      <c r="L85" s="614">
        <f t="shared" si="38"/>
        <v>366.4948249393961</v>
      </c>
      <c r="M85" s="489">
        <f t="shared" si="35"/>
        <v>32.658561250838808</v>
      </c>
      <c r="N85" s="323"/>
    </row>
    <row r="86" spans="1:14" s="324" customFormat="1" ht="15.75">
      <c r="A86" s="321" t="s">
        <v>1011</v>
      </c>
      <c r="B86" s="13"/>
      <c r="C86" s="322">
        <f t="shared" si="36"/>
        <v>14.753336497929638</v>
      </c>
      <c r="D86" s="489">
        <f t="shared" si="28"/>
        <v>2.3707276574741787</v>
      </c>
      <c r="E86" s="322">
        <f t="shared" si="29"/>
        <v>12.40691608800363</v>
      </c>
      <c r="F86" s="489">
        <f t="shared" si="30"/>
        <v>9.8950080185076352</v>
      </c>
      <c r="G86" s="489">
        <f t="shared" si="31"/>
        <v>9.5344368199300096</v>
      </c>
      <c r="H86" s="322">
        <f t="shared" si="37"/>
        <v>0.13461100372744544</v>
      </c>
      <c r="I86" s="322">
        <f t="shared" si="32"/>
        <v>0.57468201703801414</v>
      </c>
      <c r="J86" s="322">
        <f t="shared" si="33"/>
        <v>2.5912821837127864</v>
      </c>
      <c r="K86" s="322">
        <f t="shared" si="34"/>
        <v>9.3365409223473167E-2</v>
      </c>
      <c r="L86" s="489">
        <f t="shared" si="38"/>
        <v>139.32222402014582</v>
      </c>
      <c r="M86" s="322">
        <f t="shared" si="35"/>
        <v>34.583248526156083</v>
      </c>
      <c r="N86" s="323"/>
    </row>
    <row r="87" spans="1:14" s="324" customFormat="1" ht="15.75">
      <c r="A87" s="321" t="s">
        <v>1012</v>
      </c>
      <c r="B87" s="243"/>
      <c r="C87" s="322">
        <f t="shared" si="36"/>
        <v>9.0319706675094285</v>
      </c>
      <c r="D87" s="489">
        <f t="shared" si="28"/>
        <v>2.5806457621661409</v>
      </c>
      <c r="E87" s="322">
        <f t="shared" si="29"/>
        <v>4.7454318395981652</v>
      </c>
      <c r="F87" s="489">
        <f t="shared" si="30"/>
        <v>3.1057367532115636</v>
      </c>
      <c r="G87" s="489">
        <f t="shared" si="31"/>
        <v>5.8558254017238323</v>
      </c>
      <c r="H87" s="322">
        <f t="shared" si="37"/>
        <v>0.10118761762166495</v>
      </c>
      <c r="I87" s="322">
        <f t="shared" si="32"/>
        <v>1.3302594641085779</v>
      </c>
      <c r="J87" s="489">
        <f t="shared" si="33"/>
        <v>0.36423476067353266</v>
      </c>
      <c r="K87" s="322">
        <f t="shared" si="34"/>
        <v>1.613911819323121E-2</v>
      </c>
      <c r="L87" s="489">
        <f t="shared" si="38"/>
        <v>47.930888726055414</v>
      </c>
      <c r="M87" s="489">
        <f t="shared" si="35"/>
        <v>0</v>
      </c>
      <c r="N87" s="323"/>
    </row>
    <row r="88" spans="1:14" s="324" customFormat="1" ht="15.75">
      <c r="A88" s="321" t="s">
        <v>1013</v>
      </c>
      <c r="B88" s="13"/>
      <c r="C88" s="322">
        <f t="shared" si="36"/>
        <v>8.7213260305188971</v>
      </c>
      <c r="D88" s="489">
        <f t="shared" si="28"/>
        <v>3.7970509731362392</v>
      </c>
      <c r="E88" s="322">
        <f t="shared" si="29"/>
        <v>2.9274597114999139</v>
      </c>
      <c r="F88" s="489">
        <f t="shared" si="30"/>
        <v>10.50149430556576</v>
      </c>
      <c r="G88" s="322">
        <f t="shared" si="31"/>
        <v>18.771257730889413</v>
      </c>
      <c r="H88" s="322">
        <f t="shared" si="37"/>
        <v>0.12879554266997517</v>
      </c>
      <c r="I88" s="322">
        <f t="shared" si="32"/>
        <v>0.51258270112492832</v>
      </c>
      <c r="J88" s="322">
        <f t="shared" si="33"/>
        <v>2.2225207864367023</v>
      </c>
      <c r="K88" s="322">
        <f t="shared" si="34"/>
        <v>2.5630523320498502</v>
      </c>
      <c r="L88" s="489">
        <f t="shared" si="38"/>
        <v>136.70685414732807</v>
      </c>
      <c r="M88" s="489">
        <f t="shared" si="35"/>
        <v>0</v>
      </c>
      <c r="N88" s="323"/>
    </row>
    <row r="89" spans="1:14" s="625" customFormat="1" ht="15.75">
      <c r="A89" s="620">
        <f t="shared" ref="A89:A98" si="39">A62</f>
        <v>278</v>
      </c>
      <c r="B89" s="130"/>
      <c r="C89" s="622">
        <f t="shared" ref="C89:C98" si="40">C62*$C$7</f>
        <v>2.1294738749999995</v>
      </c>
      <c r="D89" s="623">
        <f t="shared" ref="D89:D98" si="41">D62*$D$7</f>
        <v>4.5942265200000003</v>
      </c>
      <c r="E89" s="628">
        <f t="shared" ref="E89:E98" si="42">E62*$E$7</f>
        <v>0.90967187999999999</v>
      </c>
      <c r="F89" s="622">
        <f t="shared" ref="F89:F98" si="43">F62*$F$7</f>
        <v>43.3778085</v>
      </c>
      <c r="G89" s="628">
        <f t="shared" ref="G89:G98" si="44">G62*$G$7</f>
        <v>14.8089865</v>
      </c>
      <c r="H89" s="622">
        <f t="shared" ref="H89:H98" si="45">H62*$H$7</f>
        <v>5.3491199999999996E-2</v>
      </c>
      <c r="I89" s="622">
        <f t="shared" ref="I89:I98" si="46">I62*$I$7</f>
        <v>0.102431364</v>
      </c>
      <c r="J89" s="622">
        <f t="shared" ref="J89:J98" si="47">J62*$J$7</f>
        <v>1.9909102400000001</v>
      </c>
      <c r="K89" s="622">
        <f t="shared" ref="K89:K98" si="48">K62*$K$7</f>
        <v>0.19007318000000001</v>
      </c>
      <c r="L89" s="628">
        <f t="shared" ref="L89:L98" si="49">L62*$L$7*1000</f>
        <v>1112.328</v>
      </c>
      <c r="M89" s="628">
        <f t="shared" ref="M89:M98" si="50">M62*$M$7*1000</f>
        <v>105.71964000000001</v>
      </c>
      <c r="N89" s="624"/>
    </row>
    <row r="90" spans="1:14" s="625" customFormat="1" ht="15.75">
      <c r="A90" s="620">
        <f t="shared" si="39"/>
        <v>279</v>
      </c>
      <c r="B90" s="130"/>
      <c r="C90" s="622">
        <f t="shared" si="40"/>
        <v>4.5601256750000001</v>
      </c>
      <c r="D90" s="623">
        <f t="shared" si="41"/>
        <v>3.1414769200000001</v>
      </c>
      <c r="E90" s="628">
        <f t="shared" si="42"/>
        <v>0.12016608000000002</v>
      </c>
      <c r="F90" s="622">
        <f t="shared" si="43"/>
        <v>21.519628000000001</v>
      </c>
      <c r="G90" s="622">
        <f t="shared" si="44"/>
        <v>21.30871754</v>
      </c>
      <c r="H90" s="622">
        <f t="shared" si="45"/>
        <v>5.2822559999999998E-2</v>
      </c>
      <c r="I90" s="622">
        <f t="shared" si="46"/>
        <v>0.12227849199999999</v>
      </c>
      <c r="J90" s="622">
        <f t="shared" si="47"/>
        <v>5.1802916000000003</v>
      </c>
      <c r="K90" s="622">
        <f t="shared" si="48"/>
        <v>0.42998560000000002</v>
      </c>
      <c r="L90" s="628">
        <f t="shared" si="49"/>
        <v>907.51839999999993</v>
      </c>
      <c r="M90" s="628">
        <f t="shared" si="50"/>
        <v>81.322800000000015</v>
      </c>
      <c r="N90" s="624"/>
    </row>
    <row r="91" spans="1:14" s="640" customFormat="1" ht="15.75">
      <c r="A91" s="621">
        <f t="shared" si="39"/>
        <v>280</v>
      </c>
      <c r="B91" s="14"/>
      <c r="C91" s="637">
        <f t="shared" si="40"/>
        <v>3.934949295</v>
      </c>
      <c r="D91" s="638">
        <f t="shared" si="41"/>
        <v>2.6800595600000001</v>
      </c>
      <c r="E91" s="639">
        <f t="shared" si="42"/>
        <v>0.44476104</v>
      </c>
      <c r="F91" s="637">
        <f t="shared" si="43"/>
        <v>20.215893100000002</v>
      </c>
      <c r="G91" s="637">
        <f t="shared" si="44"/>
        <v>21.764935170000001</v>
      </c>
      <c r="H91" s="637">
        <f t="shared" si="45"/>
        <v>5.1652440000000001E-2</v>
      </c>
      <c r="I91" s="637">
        <f t="shared" si="46"/>
        <v>9.1498623999999987E-2</v>
      </c>
      <c r="J91" s="637">
        <f t="shared" si="47"/>
        <v>4.8618948399999997</v>
      </c>
      <c r="K91" s="637">
        <f t="shared" si="48"/>
        <v>0.56215731000000002</v>
      </c>
      <c r="L91" s="639">
        <f t="shared" si="49"/>
        <v>672.69359999999995</v>
      </c>
      <c r="M91" s="639">
        <f t="shared" si="50"/>
        <v>71.83514000000001</v>
      </c>
      <c r="N91" s="353"/>
    </row>
    <row r="92" spans="1:14" s="640" customFormat="1" ht="15.75">
      <c r="A92" s="621">
        <f t="shared" si="39"/>
        <v>281</v>
      </c>
      <c r="B92" s="14"/>
      <c r="C92" s="637">
        <f t="shared" si="40"/>
        <v>17.801340175</v>
      </c>
      <c r="D92" s="639">
        <f t="shared" si="41"/>
        <v>6.1459587999999998</v>
      </c>
      <c r="E92" s="639">
        <f t="shared" si="42"/>
        <v>0.34596596000000002</v>
      </c>
      <c r="F92" s="637">
        <f t="shared" si="43"/>
        <v>31.233006999999997</v>
      </c>
      <c r="G92" s="637">
        <f t="shared" si="44"/>
        <v>40.632307429999997</v>
      </c>
      <c r="H92" s="637">
        <f t="shared" si="45"/>
        <v>6.3855120000000001E-2</v>
      </c>
      <c r="I92" s="637">
        <f t="shared" si="46"/>
        <v>7.6360983999999993E-2</v>
      </c>
      <c r="J92" s="637">
        <f t="shared" si="47"/>
        <v>6.4609842000000004</v>
      </c>
      <c r="K92" s="637">
        <f t="shared" si="48"/>
        <v>0.46247883000000006</v>
      </c>
      <c r="L92" s="639">
        <f t="shared" si="49"/>
        <v>990.94299999999998</v>
      </c>
      <c r="M92" s="639">
        <f t="shared" si="50"/>
        <v>121.98420000000002</v>
      </c>
      <c r="N92" s="353"/>
    </row>
    <row r="93" spans="1:14" s="640" customFormat="1" ht="15.75">
      <c r="A93" s="621">
        <f t="shared" si="39"/>
        <v>282</v>
      </c>
      <c r="B93" s="14"/>
      <c r="C93" s="637">
        <f t="shared" si="40"/>
        <v>29.825636644999999</v>
      </c>
      <c r="D93" s="639">
        <f t="shared" si="41"/>
        <v>9.7210024399999995</v>
      </c>
      <c r="E93" s="639">
        <f t="shared" si="42"/>
        <v>9.6963279999999999E-2</v>
      </c>
      <c r="F93" s="637">
        <f t="shared" si="43"/>
        <v>222.19877680000002</v>
      </c>
      <c r="G93" s="637">
        <f t="shared" si="44"/>
        <v>31.112025450000001</v>
      </c>
      <c r="H93" s="637">
        <f t="shared" si="45"/>
        <v>3.3264839999999997E-2</v>
      </c>
      <c r="I93" s="637">
        <f t="shared" si="46"/>
        <v>7.955670799999999E-2</v>
      </c>
      <c r="J93" s="637">
        <f t="shared" si="47"/>
        <v>8.6121078999999998</v>
      </c>
      <c r="K93" s="637">
        <f t="shared" si="48"/>
        <v>0.10627485</v>
      </c>
      <c r="L93" s="639">
        <f t="shared" si="49"/>
        <v>828.94919999999991</v>
      </c>
      <c r="M93" s="639">
        <f t="shared" si="50"/>
        <v>100.29812000000001</v>
      </c>
      <c r="N93" s="353"/>
    </row>
    <row r="94" spans="1:14" s="640" customFormat="1" ht="18" customHeight="1">
      <c r="A94" s="621">
        <f t="shared" si="39"/>
        <v>283</v>
      </c>
      <c r="B94" s="14"/>
      <c r="C94" s="637">
        <f t="shared" si="40"/>
        <v>20.083923885000001</v>
      </c>
      <c r="D94" s="639">
        <f t="shared" si="41"/>
        <v>10.654751600000001</v>
      </c>
      <c r="E94" s="639">
        <f t="shared" si="42"/>
        <v>7.7668319999999999E-2</v>
      </c>
      <c r="F94" s="637">
        <f t="shared" si="43"/>
        <v>133.27149940000001</v>
      </c>
      <c r="G94" s="637">
        <f t="shared" si="44"/>
        <v>46.934950700000002</v>
      </c>
      <c r="H94" s="637">
        <f t="shared" si="45"/>
        <v>0.1094898</v>
      </c>
      <c r="I94" s="637">
        <f t="shared" si="46"/>
        <v>0.14582593199999999</v>
      </c>
      <c r="J94" s="637">
        <f t="shared" si="47"/>
        <v>8.2202870200000007</v>
      </c>
      <c r="K94" s="637">
        <f t="shared" si="48"/>
        <v>0.10627485</v>
      </c>
      <c r="L94" s="639">
        <f t="shared" si="49"/>
        <v>842.63259999999991</v>
      </c>
      <c r="M94" s="639">
        <f t="shared" si="50"/>
        <v>113.85192000000002</v>
      </c>
      <c r="N94" s="353"/>
    </row>
    <row r="95" spans="1:14" s="324" customFormat="1" ht="18" hidden="1" customHeight="1">
      <c r="A95" s="321">
        <f t="shared" si="39"/>
        <v>302</v>
      </c>
      <c r="B95" s="13"/>
      <c r="C95" s="489">
        <f t="shared" si="40"/>
        <v>0.19238237499999999</v>
      </c>
      <c r="D95" s="489">
        <f t="shared" si="41"/>
        <v>0.99961215999999997</v>
      </c>
      <c r="E95" s="641">
        <f t="shared" si="42"/>
        <v>1.4844907199999999</v>
      </c>
      <c r="F95" s="642">
        <f t="shared" si="43"/>
        <v>10.832448900000001</v>
      </c>
      <c r="G95" s="642">
        <f t="shared" si="44"/>
        <v>1.61857509</v>
      </c>
      <c r="H95" s="322">
        <f t="shared" si="45"/>
        <v>2.34024E-2</v>
      </c>
      <c r="I95" s="322">
        <f t="shared" si="46"/>
        <v>9.7385483999999994E-2</v>
      </c>
      <c r="J95" s="642">
        <f t="shared" si="47"/>
        <v>9.186474E-2</v>
      </c>
      <c r="K95" s="322">
        <f t="shared" si="48"/>
        <v>1.0016710000000002E-2</v>
      </c>
      <c r="L95" s="641">
        <f t="shared" si="49"/>
        <v>273.22659999999996</v>
      </c>
      <c r="M95" s="489">
        <f t="shared" si="50"/>
        <v>16.264560000000003</v>
      </c>
      <c r="N95" s="323"/>
    </row>
    <row r="96" spans="1:14" s="324" customFormat="1" ht="18" hidden="1" customHeight="1">
      <c r="A96" s="321">
        <f t="shared" si="39"/>
        <v>306</v>
      </c>
      <c r="B96" s="13"/>
      <c r="C96" s="322">
        <f t="shared" si="40"/>
        <v>3.0125753149999999</v>
      </c>
      <c r="D96" s="489">
        <f t="shared" si="41"/>
        <v>5.1045706800000001</v>
      </c>
      <c r="E96" s="641">
        <f t="shared" si="42"/>
        <v>2.9678823599999999</v>
      </c>
      <c r="F96" s="322">
        <f t="shared" si="43"/>
        <v>19.2901059</v>
      </c>
      <c r="G96" s="642">
        <f t="shared" si="44"/>
        <v>11.209449129999999</v>
      </c>
      <c r="H96" s="322">
        <f t="shared" si="45"/>
        <v>7.4887679999999998E-2</v>
      </c>
      <c r="I96" s="322">
        <f t="shared" si="46"/>
        <v>0.10529069599999999</v>
      </c>
      <c r="J96" s="642">
        <f t="shared" si="47"/>
        <v>1.2395818599999999</v>
      </c>
      <c r="K96" s="322">
        <f t="shared" si="48"/>
        <v>0.13363757000000001</v>
      </c>
      <c r="L96" s="641">
        <f t="shared" si="49"/>
        <v>384.45940000000002</v>
      </c>
      <c r="M96" s="641">
        <f t="shared" si="50"/>
        <v>44.727540000000012</v>
      </c>
      <c r="N96" s="323"/>
    </row>
    <row r="97" spans="1:20" s="324" customFormat="1" ht="15.75" hidden="1">
      <c r="A97" s="321">
        <f t="shared" si="39"/>
        <v>307</v>
      </c>
      <c r="B97" s="13"/>
      <c r="C97" s="322">
        <f t="shared" si="40"/>
        <v>3.1558670150000001</v>
      </c>
      <c r="D97" s="489">
        <f t="shared" si="41"/>
        <v>5.5539445199999999</v>
      </c>
      <c r="E97" s="641">
        <f t="shared" si="42"/>
        <v>2.51457292</v>
      </c>
      <c r="F97" s="322">
        <f t="shared" si="43"/>
        <v>20.433797800000001</v>
      </c>
      <c r="G97" s="642">
        <f t="shared" si="44"/>
        <v>12.245091650000001</v>
      </c>
      <c r="H97" s="322">
        <f t="shared" si="45"/>
        <v>7.3717560000000001E-2</v>
      </c>
      <c r="I97" s="322">
        <f t="shared" si="46"/>
        <v>0.10478610799999999</v>
      </c>
      <c r="J97" s="642">
        <f t="shared" si="47"/>
        <v>1.3598688400000001</v>
      </c>
      <c r="K97" s="322">
        <f t="shared" si="48"/>
        <v>0.11360415000000001</v>
      </c>
      <c r="L97" s="641">
        <f t="shared" si="49"/>
        <v>421.53699999999998</v>
      </c>
      <c r="M97" s="641">
        <f t="shared" si="50"/>
        <v>56.925960000000011</v>
      </c>
      <c r="N97" s="323"/>
    </row>
    <row r="98" spans="1:20" s="625" customFormat="1" ht="15.75">
      <c r="A98" s="620">
        <f t="shared" si="39"/>
        <v>275</v>
      </c>
      <c r="B98" s="130"/>
      <c r="C98" s="622">
        <f t="shared" si="40"/>
        <v>4.2459453550000008</v>
      </c>
      <c r="D98" s="628">
        <f t="shared" si="41"/>
        <v>7.38004324</v>
      </c>
      <c r="E98" s="628">
        <f t="shared" si="42"/>
        <v>0.57262067999999999</v>
      </c>
      <c r="F98" s="622">
        <f t="shared" si="43"/>
        <v>22.324767400000002</v>
      </c>
      <c r="G98" s="629">
        <f t="shared" si="44"/>
        <v>11.82987003</v>
      </c>
      <c r="H98" s="622">
        <f t="shared" si="45"/>
        <v>3.3264839999999997E-2</v>
      </c>
      <c r="I98" s="622">
        <f t="shared" si="46"/>
        <v>8.1743256E-2</v>
      </c>
      <c r="J98" s="622">
        <f t="shared" si="47"/>
        <v>2.7014662400000002</v>
      </c>
      <c r="K98" s="622">
        <f t="shared" si="48"/>
        <v>8.5264190000000004E-2</v>
      </c>
      <c r="L98" s="628">
        <f t="shared" si="49"/>
        <v>332.81560000000002</v>
      </c>
      <c r="M98" s="628">
        <f t="shared" si="50"/>
        <v>35.239880000000007</v>
      </c>
      <c r="N98" s="624"/>
    </row>
    <row r="99" spans="1:20" ht="15.75">
      <c r="A99" s="314"/>
      <c r="B99" s="11"/>
      <c r="C99" s="320"/>
      <c r="D99" s="626"/>
      <c r="E99" s="320"/>
      <c r="F99" s="626"/>
      <c r="G99" s="320"/>
      <c r="H99" s="320"/>
      <c r="I99" s="320"/>
      <c r="J99" s="320"/>
      <c r="K99" s="320"/>
      <c r="L99" s="320"/>
      <c r="M99" s="626"/>
      <c r="N99" s="251"/>
    </row>
    <row r="100" spans="1:20" ht="16.149999999999999" customHeight="1">
      <c r="A100" s="314"/>
      <c r="B100" s="314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R100" s="989" t="s">
        <v>1029</v>
      </c>
      <c r="S100" s="989"/>
      <c r="T100" s="989"/>
    </row>
    <row r="101" spans="1:20" ht="15" hidden="1" customHeight="1">
      <c r="A101" s="314"/>
      <c r="B101" s="327"/>
      <c r="C101" s="328" t="s">
        <v>1030</v>
      </c>
      <c r="D101" s="328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R101" s="989"/>
      <c r="S101" s="989"/>
      <c r="T101" s="989"/>
    </row>
    <row r="102" spans="1:20" ht="15" customHeight="1">
      <c r="A102" s="326"/>
      <c r="B102" s="329"/>
      <c r="C102" s="330" t="s">
        <v>1031</v>
      </c>
      <c r="D102" s="33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R102" s="989"/>
      <c r="S102" s="989"/>
      <c r="T102" s="989"/>
    </row>
    <row r="103" spans="1:20" ht="15" customHeight="1">
      <c r="R103" s="989"/>
      <c r="S103" s="989"/>
      <c r="T103" s="989"/>
    </row>
    <row r="104" spans="1:20">
      <c r="A104" s="315" t="s">
        <v>1032</v>
      </c>
      <c r="C104" s="332">
        <f t="shared" ref="C104:M104" si="51">AVERAGE(C79:C83,C89:C90,C98)</f>
        <v>58.219514283483626</v>
      </c>
      <c r="D104" s="332">
        <f t="shared" si="51"/>
        <v>7.9764441083589066</v>
      </c>
      <c r="E104" s="332">
        <f t="shared" si="51"/>
        <v>7.4503375398619953</v>
      </c>
      <c r="F104" s="332">
        <f t="shared" si="51"/>
        <v>26.097525610433379</v>
      </c>
      <c r="G104" s="332">
        <f t="shared" si="51"/>
        <v>23.142155274884473</v>
      </c>
      <c r="H104" s="332">
        <f t="shared" si="51"/>
        <v>9.3532138920483773E-2</v>
      </c>
      <c r="I104" s="332">
        <f t="shared" si="51"/>
        <v>0.64832064276737811</v>
      </c>
      <c r="J104" s="332">
        <f t="shared" si="51"/>
        <v>5.6608189900993402</v>
      </c>
      <c r="K104" s="332">
        <f t="shared" si="51"/>
        <v>0.18127306360883702</v>
      </c>
      <c r="L104" s="332">
        <f t="shared" si="51"/>
        <v>445.80607960720545</v>
      </c>
      <c r="M104" s="332">
        <f t="shared" si="51"/>
        <v>65.871281802958507</v>
      </c>
      <c r="R104" s="989"/>
      <c r="S104" s="989"/>
      <c r="T104" s="989"/>
    </row>
    <row r="105" spans="1:20">
      <c r="A105" s="315" t="s">
        <v>1033</v>
      </c>
      <c r="C105" s="332">
        <f>AVERAGE(C91:C94)</f>
        <v>17.911462499999999</v>
      </c>
      <c r="D105" s="332">
        <f t="shared" ref="D105:M105" si="52">AVERAGE(D91:D94)</f>
        <v>7.3004430999999999</v>
      </c>
      <c r="E105" s="332">
        <f t="shared" si="52"/>
        <v>0.24133964999999999</v>
      </c>
      <c r="F105" s="332">
        <f t="shared" si="52"/>
        <v>101.729794075</v>
      </c>
      <c r="G105" s="332">
        <f t="shared" si="52"/>
        <v>35.111054687500001</v>
      </c>
      <c r="H105" s="332">
        <f t="shared" si="52"/>
        <v>6.4565549999999999E-2</v>
      </c>
      <c r="I105" s="332">
        <f t="shared" si="52"/>
        <v>9.831056199999999E-2</v>
      </c>
      <c r="J105" s="332">
        <f t="shared" si="52"/>
        <v>7.0388184900000006</v>
      </c>
      <c r="K105" s="332">
        <f t="shared" si="52"/>
        <v>0.30929646</v>
      </c>
      <c r="L105" s="332">
        <f t="shared" si="52"/>
        <v>833.80459999999994</v>
      </c>
      <c r="M105" s="332">
        <f t="shared" si="52"/>
        <v>101.99234500000001</v>
      </c>
    </row>
    <row r="106" spans="1:20">
      <c r="A106" s="315" t="s">
        <v>1034</v>
      </c>
      <c r="C106" s="332">
        <f t="shared" ref="C106:M106" si="53">AVERAGE(C84:C88)</f>
        <v>14.320586226169359</v>
      </c>
      <c r="D106" s="332">
        <f t="shared" si="53"/>
        <v>5.2087551977381104</v>
      </c>
      <c r="E106" s="332">
        <f t="shared" si="53"/>
        <v>26.70153302790688</v>
      </c>
      <c r="F106" s="332">
        <f t="shared" si="53"/>
        <v>6.881000009483051</v>
      </c>
      <c r="G106" s="332">
        <f t="shared" si="53"/>
        <v>16.711147882533972</v>
      </c>
      <c r="H106" s="332">
        <f t="shared" si="53"/>
        <v>0.13445814477953694</v>
      </c>
      <c r="I106" s="332">
        <f t="shared" si="53"/>
        <v>0.79455136038476748</v>
      </c>
      <c r="J106" s="332">
        <f t="shared" si="53"/>
        <v>2.9166947393661444</v>
      </c>
      <c r="K106" s="332">
        <f t="shared" si="53"/>
        <v>0.66799115141091825</v>
      </c>
      <c r="L106" s="332">
        <f t="shared" si="53"/>
        <v>165.13663428201801</v>
      </c>
      <c r="M106" s="332">
        <f t="shared" si="53"/>
        <v>19.853904579389276</v>
      </c>
      <c r="R106" s="988" t="s">
        <v>1035</v>
      </c>
      <c r="S106" s="988"/>
      <c r="T106" s="988"/>
    </row>
    <row r="107" spans="1:20" ht="70.900000000000006" customHeight="1">
      <c r="K107" s="490"/>
      <c r="R107" s="988"/>
      <c r="S107" s="988"/>
      <c r="T107" s="988"/>
    </row>
    <row r="109" spans="1:20" ht="18">
      <c r="A109" s="495"/>
      <c r="B109" s="495"/>
      <c r="C109" s="987" t="s">
        <v>1036</v>
      </c>
      <c r="D109" s="987"/>
      <c r="E109" s="987"/>
      <c r="F109" s="987"/>
      <c r="G109" s="987"/>
      <c r="H109" s="987"/>
      <c r="I109" s="987"/>
      <c r="J109" s="987"/>
      <c r="K109" s="987"/>
      <c r="L109" s="987"/>
      <c r="M109" s="987"/>
    </row>
    <row r="110" spans="1:20">
      <c r="A110" s="495"/>
      <c r="B110" s="317"/>
      <c r="C110" s="317" t="s">
        <v>141</v>
      </c>
      <c r="D110" s="317" t="s">
        <v>142</v>
      </c>
      <c r="E110" s="317" t="s">
        <v>143</v>
      </c>
      <c r="F110" s="317" t="s">
        <v>144</v>
      </c>
      <c r="G110" s="317" t="s">
        <v>145</v>
      </c>
      <c r="H110" s="317" t="s">
        <v>146</v>
      </c>
      <c r="I110" s="317" t="s">
        <v>147</v>
      </c>
      <c r="J110" s="317" t="s">
        <v>148</v>
      </c>
      <c r="K110" s="317" t="s">
        <v>149</v>
      </c>
      <c r="L110" s="317" t="s">
        <v>150</v>
      </c>
      <c r="M110" s="317" t="s">
        <v>988</v>
      </c>
      <c r="O110" s="251" t="s">
        <v>1037</v>
      </c>
    </row>
    <row r="111" spans="1:20">
      <c r="A111" s="634" t="s">
        <v>1025</v>
      </c>
      <c r="B111" s="634"/>
      <c r="C111" s="634" t="s">
        <v>1038</v>
      </c>
      <c r="D111" s="634" t="s">
        <v>1039</v>
      </c>
      <c r="E111" s="634"/>
      <c r="F111" s="634" t="s">
        <v>1040</v>
      </c>
      <c r="G111" s="634" t="s">
        <v>1041</v>
      </c>
      <c r="H111" s="634"/>
      <c r="I111" s="634"/>
      <c r="J111" s="634" t="s">
        <v>1042</v>
      </c>
      <c r="K111" s="634" t="s">
        <v>79</v>
      </c>
      <c r="L111" s="634" t="s">
        <v>1043</v>
      </c>
      <c r="M111" s="635" t="s">
        <v>1044</v>
      </c>
    </row>
    <row r="112" spans="1:20">
      <c r="A112" s="496" t="s">
        <v>1045</v>
      </c>
      <c r="B112" s="634"/>
      <c r="C112" s="318">
        <f t="shared" ref="C112:M112" si="54">(C76/10)*2.5</f>
        <v>1.5921300000000002E-3</v>
      </c>
      <c r="D112" s="318">
        <f t="shared" si="54"/>
        <v>5.6453999999999999E-4</v>
      </c>
      <c r="E112" s="318">
        <f t="shared" si="54"/>
        <v>1.8318000000000002E-4</v>
      </c>
      <c r="F112" s="318">
        <f t="shared" si="54"/>
        <v>6.1555000000000003E-5</v>
      </c>
      <c r="G112" s="318">
        <f t="shared" si="54"/>
        <v>1.09615E-4</v>
      </c>
      <c r="H112" s="318">
        <f t="shared" si="54"/>
        <v>8.358000000000001E-5</v>
      </c>
      <c r="I112" s="318">
        <f t="shared" si="54"/>
        <v>2.5229399999999997E-4</v>
      </c>
      <c r="J112" s="318">
        <f t="shared" si="54"/>
        <v>8.4590000000000002E-5</v>
      </c>
      <c r="K112" s="318">
        <f t="shared" si="54"/>
        <v>3.6646500000000006E-4</v>
      </c>
      <c r="L112" s="318">
        <f t="shared" si="54"/>
        <v>0.11035</v>
      </c>
      <c r="M112" s="318">
        <f t="shared" si="54"/>
        <v>0.20330700000000004</v>
      </c>
    </row>
    <row r="113" spans="1:15" ht="15.75">
      <c r="A113" s="620" t="s">
        <v>1004</v>
      </c>
      <c r="B113" s="130"/>
      <c r="C113" s="622">
        <f t="shared" ref="C113:M113" si="55">(C79/10)*2.5</f>
        <v>35.514240207172151</v>
      </c>
      <c r="D113" s="622">
        <f t="shared" si="55"/>
        <v>3.7435095742647375</v>
      </c>
      <c r="E113" s="622">
        <f t="shared" si="55"/>
        <v>6.2395943165096535</v>
      </c>
      <c r="F113" s="622">
        <f t="shared" si="55"/>
        <v>12.961204294487338</v>
      </c>
      <c r="G113" s="622">
        <f t="shared" si="55"/>
        <v>11.024231682586779</v>
      </c>
      <c r="H113" s="622">
        <f t="shared" si="55"/>
        <v>5.6728401495441449E-2</v>
      </c>
      <c r="I113" s="622">
        <f t="shared" si="55"/>
        <v>0.24846172989583065</v>
      </c>
      <c r="J113" s="622">
        <f t="shared" si="55"/>
        <v>4.3739161919972052</v>
      </c>
      <c r="K113" s="622">
        <f t="shared" si="55"/>
        <v>4.6997612462034946E-2</v>
      </c>
      <c r="L113" s="622">
        <f t="shared" si="55"/>
        <v>139.94367095378473</v>
      </c>
      <c r="M113" s="622">
        <f t="shared" si="55"/>
        <v>33.465181742260413</v>
      </c>
      <c r="N113" s="332">
        <f>SUM(C113:M113)</f>
        <v>247.61773670691633</v>
      </c>
      <c r="O113" s="315" t="s">
        <v>211</v>
      </c>
    </row>
    <row r="114" spans="1:15" ht="15.75">
      <c r="A114" s="620" t="s">
        <v>1005</v>
      </c>
      <c r="B114" s="130"/>
      <c r="C114" s="622">
        <f t="shared" ref="C114:M114" si="56">(C80/10)*2.5</f>
        <v>3.0301186825600297</v>
      </c>
      <c r="D114" s="623">
        <f t="shared" si="56"/>
        <v>1.4429883298920769</v>
      </c>
      <c r="E114" s="622">
        <f t="shared" si="56"/>
        <v>2.8368741344671058</v>
      </c>
      <c r="F114" s="622">
        <f t="shared" si="56"/>
        <v>4.4777733477729909</v>
      </c>
      <c r="G114" s="622">
        <f t="shared" si="56"/>
        <v>4.5787167552982408</v>
      </c>
      <c r="H114" s="622">
        <f t="shared" si="56"/>
        <v>3.0985248300813589E-2</v>
      </c>
      <c r="I114" s="622">
        <f t="shared" si="56"/>
        <v>0.21347347823158561</v>
      </c>
      <c r="J114" s="622">
        <f t="shared" si="56"/>
        <v>0.55387210582750157</v>
      </c>
      <c r="K114" s="622">
        <f t="shared" si="56"/>
        <v>4.565656285658564E-2</v>
      </c>
      <c r="L114" s="623">
        <f t="shared" si="56"/>
        <v>51.653540510970224</v>
      </c>
      <c r="M114" s="623">
        <f t="shared" si="56"/>
        <v>7.3043895112382824</v>
      </c>
      <c r="N114" s="332">
        <f t="shared" ref="N114:N129" si="57">SUM(C114:M114)</f>
        <v>76.168388667415442</v>
      </c>
      <c r="O114" s="315" t="s">
        <v>199</v>
      </c>
    </row>
    <row r="115" spans="1:15" ht="15.75">
      <c r="A115" s="620" t="s">
        <v>1006</v>
      </c>
      <c r="B115" s="130"/>
      <c r="C115" s="622">
        <f t="shared" ref="C115:M115" si="58">(C81/10)*2.5</f>
        <v>4.3968249514419488</v>
      </c>
      <c r="D115" s="622">
        <f t="shared" si="58"/>
        <v>2.9062707645139403</v>
      </c>
      <c r="E115" s="622">
        <f t="shared" si="58"/>
        <v>1.0234579440342904</v>
      </c>
      <c r="F115" s="622">
        <f t="shared" si="58"/>
        <v>4.1703405413526387</v>
      </c>
      <c r="G115" s="622">
        <f t="shared" si="58"/>
        <v>4.0524592566204483</v>
      </c>
      <c r="H115" s="622">
        <f t="shared" si="58"/>
        <v>1.617182287585895E-2</v>
      </c>
      <c r="I115" s="622">
        <f t="shared" si="58"/>
        <v>0.16868289132407216</v>
      </c>
      <c r="J115" s="622">
        <f t="shared" si="58"/>
        <v>1.0028833099086325</v>
      </c>
      <c r="K115" s="622">
        <f t="shared" si="58"/>
        <v>2.387274470097233E-2</v>
      </c>
      <c r="L115" s="623">
        <f t="shared" si="58"/>
        <v>34.266312191084644</v>
      </c>
      <c r="M115" s="623">
        <f t="shared" si="58"/>
        <v>7.7945654479046658</v>
      </c>
      <c r="N115" s="332">
        <f t="shared" si="57"/>
        <v>59.82184186576211</v>
      </c>
      <c r="O115" s="315" t="s">
        <v>199</v>
      </c>
    </row>
    <row r="116" spans="1:15" ht="15.75">
      <c r="A116" s="620" t="s">
        <v>1007</v>
      </c>
      <c r="B116" s="130"/>
      <c r="C116" s="622">
        <f t="shared" ref="C116:M116" si="59">(C82/10)*2.5</f>
        <v>8.1305079501720599</v>
      </c>
      <c r="D116" s="622">
        <f t="shared" si="59"/>
        <v>2.2897149188615722</v>
      </c>
      <c r="E116" s="622">
        <f t="shared" si="59"/>
        <v>3.4029192685204093</v>
      </c>
      <c r="F116" s="623">
        <f t="shared" si="59"/>
        <v>3.5788039724899363</v>
      </c>
      <c r="G116" s="622">
        <f t="shared" si="59"/>
        <v>6.6177388195179923</v>
      </c>
      <c r="H116" s="622">
        <f t="shared" si="59"/>
        <v>2.1296430604156202E-2</v>
      </c>
      <c r="I116" s="622">
        <f t="shared" si="59"/>
        <v>0.15201937055242826</v>
      </c>
      <c r="J116" s="622">
        <f t="shared" si="59"/>
        <v>1.8122002043967504</v>
      </c>
      <c r="K116" s="622">
        <f t="shared" si="59"/>
        <v>1.8723323085917006E-2</v>
      </c>
      <c r="L116" s="623">
        <f t="shared" si="59"/>
        <v>44.598100573806619</v>
      </c>
      <c r="M116" s="622">
        <f t="shared" si="59"/>
        <v>11.73178763435175</v>
      </c>
      <c r="N116" s="332">
        <f t="shared" si="57"/>
        <v>82.353812466359585</v>
      </c>
      <c r="O116" s="315" t="s">
        <v>199</v>
      </c>
    </row>
    <row r="117" spans="1:15" ht="15.75">
      <c r="A117" s="620" t="s">
        <v>1008</v>
      </c>
      <c r="B117" s="130"/>
      <c r="C117" s="622">
        <f t="shared" ref="C117:M117" si="60">(C83/10)*2.5</f>
        <v>62.633450549371062</v>
      </c>
      <c r="D117" s="622">
        <f t="shared" si="60"/>
        <v>1.791467959185487</v>
      </c>
      <c r="E117" s="622">
        <f t="shared" si="60"/>
        <v>0.99721475619253441</v>
      </c>
      <c r="F117" s="622">
        <f t="shared" si="60"/>
        <v>5.2013780897638462</v>
      </c>
      <c r="G117" s="622">
        <f t="shared" si="60"/>
        <v>8.0242705182454888</v>
      </c>
      <c r="H117" s="622">
        <f t="shared" si="60"/>
        <v>2.6987724564697394E-2</v>
      </c>
      <c r="I117" s="622">
        <f t="shared" si="60"/>
        <v>0.43739053753083929</v>
      </c>
      <c r="J117" s="622">
        <f t="shared" si="60"/>
        <v>1.1105991480685891</v>
      </c>
      <c r="K117" s="622">
        <f t="shared" si="60"/>
        <v>5.0965141612164186E-2</v>
      </c>
      <c r="L117" s="623">
        <f t="shared" si="60"/>
        <v>32.985034984764688</v>
      </c>
      <c r="M117" s="622">
        <f t="shared" si="60"/>
        <v>15.876059270161896</v>
      </c>
      <c r="N117" s="332">
        <f t="shared" si="57"/>
        <v>129.13481867946129</v>
      </c>
      <c r="O117" s="315" t="s">
        <v>199</v>
      </c>
    </row>
    <row r="118" spans="1:15" ht="15.75">
      <c r="A118" s="620">
        <v>278</v>
      </c>
      <c r="B118" s="130"/>
      <c r="C118" s="623">
        <f t="shared" ref="C118:M118" si="61">(C89/10)*2.5</f>
        <v>0.53236846874999988</v>
      </c>
      <c r="D118" s="622">
        <f t="shared" si="61"/>
        <v>1.1485566300000001</v>
      </c>
      <c r="E118" s="622">
        <f t="shared" si="61"/>
        <v>0.22741797000000002</v>
      </c>
      <c r="F118" s="622">
        <f t="shared" si="61"/>
        <v>10.844452125</v>
      </c>
      <c r="G118" s="622">
        <f t="shared" si="61"/>
        <v>3.7022466249999999</v>
      </c>
      <c r="H118" s="622">
        <f t="shared" si="61"/>
        <v>1.3372799999999999E-2</v>
      </c>
      <c r="I118" s="622">
        <f t="shared" si="61"/>
        <v>2.5607840999999999E-2</v>
      </c>
      <c r="J118" s="622">
        <f t="shared" si="61"/>
        <v>0.49772756000000001</v>
      </c>
      <c r="K118" s="622">
        <f t="shared" si="61"/>
        <v>4.7518295000000002E-2</v>
      </c>
      <c r="L118" s="622">
        <f t="shared" si="61"/>
        <v>278.08199999999999</v>
      </c>
      <c r="M118" s="622">
        <f t="shared" si="61"/>
        <v>26.429910000000003</v>
      </c>
      <c r="N118" s="332">
        <f t="shared" si="57"/>
        <v>321.55117831475002</v>
      </c>
      <c r="O118" s="315" t="s">
        <v>199</v>
      </c>
    </row>
    <row r="119" spans="1:15" ht="15.75">
      <c r="A119" s="620">
        <v>279</v>
      </c>
      <c r="B119" s="130"/>
      <c r="C119" s="622">
        <f t="shared" ref="C119:M119" si="62">(C90/10)*2.5</f>
        <v>1.14003141875</v>
      </c>
      <c r="D119" s="623">
        <f t="shared" si="62"/>
        <v>0.78536923000000014</v>
      </c>
      <c r="E119" s="622">
        <f t="shared" si="62"/>
        <v>3.0041520000000002E-2</v>
      </c>
      <c r="F119" s="622">
        <f t="shared" si="62"/>
        <v>5.3799070000000002</v>
      </c>
      <c r="G119" s="622">
        <f t="shared" si="62"/>
        <v>5.3271793850000009</v>
      </c>
      <c r="H119" s="622">
        <f t="shared" si="62"/>
        <v>1.3205639999999999E-2</v>
      </c>
      <c r="I119" s="622">
        <f t="shared" si="62"/>
        <v>3.0569622999999997E-2</v>
      </c>
      <c r="J119" s="622">
        <f t="shared" si="62"/>
        <v>1.2950729000000001</v>
      </c>
      <c r="K119" s="622">
        <f t="shared" si="62"/>
        <v>0.10749640000000002</v>
      </c>
      <c r="L119" s="622">
        <f t="shared" si="62"/>
        <v>226.87959999999998</v>
      </c>
      <c r="M119" s="622">
        <f t="shared" si="62"/>
        <v>20.330700000000004</v>
      </c>
      <c r="N119" s="332">
        <f t="shared" si="57"/>
        <v>261.31917311674999</v>
      </c>
      <c r="O119" s="315" t="s">
        <v>199</v>
      </c>
    </row>
    <row r="120" spans="1:15" ht="15.75">
      <c r="A120" s="620">
        <v>275</v>
      </c>
      <c r="B120" s="130"/>
      <c r="C120" s="622">
        <f t="shared" ref="C120:M120" si="63">(C98/10)*2.5</f>
        <v>1.0614863387500002</v>
      </c>
      <c r="D120" s="622">
        <f t="shared" si="63"/>
        <v>1.8450108100000002</v>
      </c>
      <c r="E120" s="622">
        <f t="shared" si="63"/>
        <v>0.14315517</v>
      </c>
      <c r="F120" s="622">
        <f t="shared" si="63"/>
        <v>5.5811918499999997</v>
      </c>
      <c r="G120" s="623">
        <f t="shared" si="63"/>
        <v>2.9574675075000001</v>
      </c>
      <c r="H120" s="622">
        <f t="shared" si="63"/>
        <v>8.3162099999999992E-3</v>
      </c>
      <c r="I120" s="622">
        <f t="shared" si="63"/>
        <v>2.0435814000000004E-2</v>
      </c>
      <c r="J120" s="622">
        <f t="shared" si="63"/>
        <v>0.67536656000000006</v>
      </c>
      <c r="K120" s="622">
        <f t="shared" si="63"/>
        <v>2.1316047500000001E-2</v>
      </c>
      <c r="L120" s="622">
        <f t="shared" si="63"/>
        <v>83.203900000000004</v>
      </c>
      <c r="M120" s="622">
        <f t="shared" si="63"/>
        <v>8.8099700000000016</v>
      </c>
      <c r="N120" s="332">
        <f t="shared" si="57"/>
        <v>104.32761630775001</v>
      </c>
      <c r="O120" s="315" t="s">
        <v>199</v>
      </c>
    </row>
    <row r="121" spans="1:15" ht="15.75">
      <c r="A121" s="321" t="s">
        <v>1009</v>
      </c>
      <c r="B121" s="13"/>
      <c r="C121" s="322">
        <f t="shared" ref="C121:M121" si="64">(C84/10)*2.5</f>
        <v>5.4290965522124877</v>
      </c>
      <c r="D121" s="322">
        <f t="shared" si="64"/>
        <v>2.1106781711461089</v>
      </c>
      <c r="E121" s="322">
        <f t="shared" si="64"/>
        <v>5.7510407519773024</v>
      </c>
      <c r="F121" s="489">
        <f t="shared" si="64"/>
        <v>1.1464462385402145</v>
      </c>
      <c r="G121" s="322">
        <f t="shared" si="64"/>
        <v>5.2095983947929767</v>
      </c>
      <c r="H121" s="322">
        <f t="shared" si="64"/>
        <v>2.6516522194820716E-2</v>
      </c>
      <c r="I121" s="322">
        <f t="shared" si="64"/>
        <v>0.19583690239998786</v>
      </c>
      <c r="J121" s="322">
        <f t="shared" si="64"/>
        <v>1.2863279295206835</v>
      </c>
      <c r="K121" s="322">
        <f t="shared" si="64"/>
        <v>9.9134350775835989E-2</v>
      </c>
      <c r="L121" s="489">
        <f t="shared" si="64"/>
        <v>33.807094894291161</v>
      </c>
      <c r="M121" s="489">
        <f t="shared" si="64"/>
        <v>8.0069282799878714</v>
      </c>
      <c r="N121" s="332">
        <f t="shared" si="57"/>
        <v>63.068698987839454</v>
      </c>
      <c r="O121" s="315" t="s">
        <v>199</v>
      </c>
    </row>
    <row r="122" spans="1:15" ht="15.75">
      <c r="A122" s="321" t="s">
        <v>1010</v>
      </c>
      <c r="B122" s="13"/>
      <c r="C122" s="322">
        <f t="shared" ref="C122:M122" si="65">(C85/10)*2.5</f>
        <v>4.3449779315097228</v>
      </c>
      <c r="D122" s="322">
        <f t="shared" si="65"/>
        <v>2.2131597278323896</v>
      </c>
      <c r="E122" s="322">
        <f t="shared" si="65"/>
        <v>22.60592362313087</v>
      </c>
      <c r="F122" s="489">
        <f t="shared" si="65"/>
        <v>1.5792440039923603</v>
      </c>
      <c r="G122" s="322">
        <f t="shared" si="65"/>
        <v>7.1389564702386767</v>
      </c>
      <c r="H122" s="322">
        <f t="shared" si="65"/>
        <v>5.0407617774829099E-2</v>
      </c>
      <c r="I122" s="322">
        <f t="shared" si="65"/>
        <v>0.19297125251309133</v>
      </c>
      <c r="J122" s="322">
        <f t="shared" si="65"/>
        <v>1.065031061981242</v>
      </c>
      <c r="K122" s="322">
        <f t="shared" si="65"/>
        <v>6.7715373621173192E-2</v>
      </c>
      <c r="L122" s="322">
        <f t="shared" si="65"/>
        <v>91.623706234849024</v>
      </c>
      <c r="M122" s="489">
        <f t="shared" si="65"/>
        <v>8.164640312709702</v>
      </c>
      <c r="N122" s="332">
        <f t="shared" si="57"/>
        <v>139.0467336101531</v>
      </c>
      <c r="O122" s="315" t="s">
        <v>199</v>
      </c>
    </row>
    <row r="123" spans="1:15" ht="15.75">
      <c r="A123" s="321" t="s">
        <v>1011</v>
      </c>
      <c r="B123" s="13"/>
      <c r="C123" s="322">
        <f t="shared" ref="C123:M123" si="66">(C86/10)*2.5</f>
        <v>3.6883341244824095</v>
      </c>
      <c r="D123" s="489">
        <f t="shared" si="66"/>
        <v>0.59268191436854467</v>
      </c>
      <c r="E123" s="322">
        <f t="shared" si="66"/>
        <v>3.1017290220009075</v>
      </c>
      <c r="F123" s="489">
        <f t="shared" si="66"/>
        <v>2.4737520046269088</v>
      </c>
      <c r="G123" s="489">
        <f t="shared" si="66"/>
        <v>2.3836092049825024</v>
      </c>
      <c r="H123" s="322">
        <f t="shared" si="66"/>
        <v>3.3652750931861361E-2</v>
      </c>
      <c r="I123" s="322">
        <f t="shared" si="66"/>
        <v>0.14367050425950353</v>
      </c>
      <c r="J123" s="322">
        <f t="shared" si="66"/>
        <v>0.6478205459281966</v>
      </c>
      <c r="K123" s="322">
        <f t="shared" si="66"/>
        <v>2.3341352305868292E-2</v>
      </c>
      <c r="L123" s="489">
        <f t="shared" si="66"/>
        <v>34.830556005036456</v>
      </c>
      <c r="M123" s="322">
        <f t="shared" si="66"/>
        <v>8.6458121315390208</v>
      </c>
      <c r="N123" s="332">
        <f t="shared" si="57"/>
        <v>56.564959560462171</v>
      </c>
      <c r="O123" s="315" t="s">
        <v>199</v>
      </c>
    </row>
    <row r="124" spans="1:15" ht="15.75">
      <c r="A124" s="321" t="s">
        <v>1012</v>
      </c>
      <c r="B124" s="243"/>
      <c r="C124" s="322">
        <f t="shared" ref="C124:M124" si="67">(C87/10)*2.5</f>
        <v>2.2579926668773571</v>
      </c>
      <c r="D124" s="489">
        <f t="shared" si="67"/>
        <v>0.64516144054153524</v>
      </c>
      <c r="E124" s="322">
        <f t="shared" si="67"/>
        <v>1.1863579598995413</v>
      </c>
      <c r="F124" s="489">
        <f t="shared" si="67"/>
        <v>0.7764341883028909</v>
      </c>
      <c r="G124" s="489">
        <f t="shared" si="67"/>
        <v>1.4639563504309581</v>
      </c>
      <c r="H124" s="322">
        <f t="shared" si="67"/>
        <v>2.5296904405416237E-2</v>
      </c>
      <c r="I124" s="322">
        <f t="shared" si="67"/>
        <v>0.33256486602714452</v>
      </c>
      <c r="J124" s="489">
        <f t="shared" si="67"/>
        <v>9.1058690168383166E-2</v>
      </c>
      <c r="K124" s="322">
        <f t="shared" si="67"/>
        <v>4.0347795483078024E-3</v>
      </c>
      <c r="L124" s="489">
        <f t="shared" si="67"/>
        <v>11.982722181513854</v>
      </c>
      <c r="M124" s="489">
        <f t="shared" si="67"/>
        <v>0</v>
      </c>
      <c r="N124" s="332">
        <f t="shared" si="57"/>
        <v>18.765580027715387</v>
      </c>
      <c r="O124" s="315" t="s">
        <v>199</v>
      </c>
    </row>
    <row r="125" spans="1:15" ht="15.75">
      <c r="A125" s="321" t="s">
        <v>1013</v>
      </c>
      <c r="B125" s="13"/>
      <c r="C125" s="322">
        <f t="shared" ref="C125:M125" si="68">(C88/10)*2.5</f>
        <v>2.1803315076297243</v>
      </c>
      <c r="D125" s="489">
        <f t="shared" si="68"/>
        <v>0.94926274328405968</v>
      </c>
      <c r="E125" s="322">
        <f t="shared" si="68"/>
        <v>0.73186492787497848</v>
      </c>
      <c r="F125" s="489">
        <f t="shared" si="68"/>
        <v>2.6253735763914401</v>
      </c>
      <c r="G125" s="322">
        <f t="shared" si="68"/>
        <v>4.6928144327223533</v>
      </c>
      <c r="H125" s="322">
        <f t="shared" si="68"/>
        <v>3.2198885667493793E-2</v>
      </c>
      <c r="I125" s="322">
        <f t="shared" si="68"/>
        <v>0.12814567528123208</v>
      </c>
      <c r="J125" s="322">
        <f t="shared" si="68"/>
        <v>0.55563019660917556</v>
      </c>
      <c r="K125" s="322">
        <f t="shared" si="68"/>
        <v>0.64076308301246243</v>
      </c>
      <c r="L125" s="489">
        <f t="shared" si="68"/>
        <v>34.176713536832018</v>
      </c>
      <c r="M125" s="489">
        <f t="shared" si="68"/>
        <v>0</v>
      </c>
      <c r="N125" s="332">
        <f t="shared" si="57"/>
        <v>46.713098565304939</v>
      </c>
      <c r="O125" s="315" t="s">
        <v>199</v>
      </c>
    </row>
    <row r="126" spans="1:15" ht="15.75">
      <c r="A126" s="621">
        <v>280</v>
      </c>
      <c r="B126" s="14"/>
      <c r="C126" s="637">
        <f t="shared" ref="C126:M126" si="69">(C91/10)*2.5</f>
        <v>0.98373732375</v>
      </c>
      <c r="D126" s="638">
        <f t="shared" si="69"/>
        <v>0.67001489000000003</v>
      </c>
      <c r="E126" s="637">
        <f t="shared" si="69"/>
        <v>0.11119026000000001</v>
      </c>
      <c r="F126" s="637">
        <f t="shared" si="69"/>
        <v>5.0539732750000006</v>
      </c>
      <c r="G126" s="637">
        <f t="shared" si="69"/>
        <v>5.4412337925000003</v>
      </c>
      <c r="H126" s="637">
        <f t="shared" si="69"/>
        <v>1.291311E-2</v>
      </c>
      <c r="I126" s="637">
        <f t="shared" si="69"/>
        <v>2.2874655999999997E-2</v>
      </c>
      <c r="J126" s="637">
        <f t="shared" si="69"/>
        <v>1.2154737099999999</v>
      </c>
      <c r="K126" s="637">
        <f t="shared" si="69"/>
        <v>0.14053932750000001</v>
      </c>
      <c r="L126" s="637">
        <f t="shared" si="69"/>
        <v>168.17339999999999</v>
      </c>
      <c r="M126" s="637">
        <f t="shared" si="69"/>
        <v>17.958785000000002</v>
      </c>
      <c r="N126" s="332">
        <f t="shared" si="57"/>
        <v>199.78413534474998</v>
      </c>
      <c r="O126" s="315" t="s">
        <v>199</v>
      </c>
    </row>
    <row r="127" spans="1:15" ht="15.75">
      <c r="A127" s="621">
        <v>281</v>
      </c>
      <c r="B127" s="14"/>
      <c r="C127" s="637">
        <f t="shared" ref="C127:M127" si="70">(C92/10)*2.5</f>
        <v>4.45033504375</v>
      </c>
      <c r="D127" s="637">
        <f t="shared" si="70"/>
        <v>1.5364897</v>
      </c>
      <c r="E127" s="637">
        <f t="shared" si="70"/>
        <v>8.6491490000000004E-2</v>
      </c>
      <c r="F127" s="637">
        <f t="shared" si="70"/>
        <v>7.8082517499999993</v>
      </c>
      <c r="G127" s="637">
        <f t="shared" si="70"/>
        <v>10.158076857499999</v>
      </c>
      <c r="H127" s="637">
        <f t="shared" si="70"/>
        <v>1.596378E-2</v>
      </c>
      <c r="I127" s="637">
        <f t="shared" si="70"/>
        <v>1.9090245999999998E-2</v>
      </c>
      <c r="J127" s="637">
        <f t="shared" si="70"/>
        <v>1.6152460500000001</v>
      </c>
      <c r="K127" s="637">
        <f t="shared" si="70"/>
        <v>0.1156197075</v>
      </c>
      <c r="L127" s="637">
        <f t="shared" si="70"/>
        <v>247.73575</v>
      </c>
      <c r="M127" s="637">
        <f t="shared" si="70"/>
        <v>30.496050000000004</v>
      </c>
      <c r="N127" s="332">
        <f t="shared" si="57"/>
        <v>304.03736462475001</v>
      </c>
      <c r="O127" s="315" t="s">
        <v>211</v>
      </c>
    </row>
    <row r="128" spans="1:15" ht="15.75">
      <c r="A128" s="621">
        <v>282</v>
      </c>
      <c r="B128" s="14"/>
      <c r="C128" s="637">
        <f t="shared" ref="C128:M128" si="71">(C93/10)*2.5</f>
        <v>7.456409161249999</v>
      </c>
      <c r="D128" s="637">
        <f t="shared" si="71"/>
        <v>2.4302506099999999</v>
      </c>
      <c r="E128" s="637">
        <f t="shared" si="71"/>
        <v>2.4240820000000003E-2</v>
      </c>
      <c r="F128" s="637">
        <f t="shared" si="71"/>
        <v>55.549694200000005</v>
      </c>
      <c r="G128" s="637">
        <f t="shared" si="71"/>
        <v>7.7780063625000011</v>
      </c>
      <c r="H128" s="637">
        <f t="shared" si="71"/>
        <v>8.3162099999999992E-3</v>
      </c>
      <c r="I128" s="637">
        <f t="shared" si="71"/>
        <v>1.9889176999999994E-2</v>
      </c>
      <c r="J128" s="637">
        <f t="shared" si="71"/>
        <v>2.153026975</v>
      </c>
      <c r="K128" s="637">
        <f t="shared" si="71"/>
        <v>2.6568712500000001E-2</v>
      </c>
      <c r="L128" s="637">
        <f t="shared" si="71"/>
        <v>207.23729999999995</v>
      </c>
      <c r="M128" s="637">
        <f t="shared" si="71"/>
        <v>25.074530000000003</v>
      </c>
      <c r="N128" s="332">
        <f t="shared" si="57"/>
        <v>307.75823222824994</v>
      </c>
      <c r="O128" s="315" t="s">
        <v>211</v>
      </c>
    </row>
    <row r="129" spans="1:15" ht="15.75">
      <c r="A129" s="621">
        <v>283</v>
      </c>
      <c r="B129" s="14"/>
      <c r="C129" s="637">
        <f t="shared" ref="C129:M129" si="72">(C94/10)*2.5</f>
        <v>5.0209809712499993</v>
      </c>
      <c r="D129" s="637">
        <f t="shared" si="72"/>
        <v>2.6636879000000002</v>
      </c>
      <c r="E129" s="637">
        <f t="shared" si="72"/>
        <v>1.941708E-2</v>
      </c>
      <c r="F129" s="637">
        <f t="shared" si="72"/>
        <v>33.317874850000003</v>
      </c>
      <c r="G129" s="637">
        <f t="shared" si="72"/>
        <v>11.733737675</v>
      </c>
      <c r="H129" s="637">
        <f t="shared" si="72"/>
        <v>2.737245E-2</v>
      </c>
      <c r="I129" s="637">
        <f t="shared" si="72"/>
        <v>3.6456482999999998E-2</v>
      </c>
      <c r="J129" s="637">
        <f t="shared" si="72"/>
        <v>2.0550717550000002</v>
      </c>
      <c r="K129" s="637">
        <f t="shared" si="72"/>
        <v>2.6568712500000001E-2</v>
      </c>
      <c r="L129" s="637">
        <f t="shared" si="72"/>
        <v>210.65814999999998</v>
      </c>
      <c r="M129" s="637">
        <f t="shared" si="72"/>
        <v>28.462980000000005</v>
      </c>
      <c r="N129" s="332">
        <f t="shared" si="57"/>
        <v>294.02229787675003</v>
      </c>
      <c r="O129" s="315" t="s">
        <v>211</v>
      </c>
    </row>
    <row r="130" spans="1:15" ht="16.149999999999999" thickBot="1">
      <c r="A130" s="314"/>
      <c r="B130" s="11"/>
      <c r="C130" s="320"/>
      <c r="D130" s="626"/>
      <c r="E130" s="834"/>
      <c r="F130" s="320"/>
      <c r="G130" s="835"/>
      <c r="H130" s="320"/>
      <c r="I130" s="320"/>
      <c r="J130" s="835"/>
      <c r="K130" s="320"/>
      <c r="L130" s="834"/>
      <c r="M130" s="834"/>
    </row>
    <row r="131" spans="1:15">
      <c r="B131" s="945"/>
      <c r="C131" s="946"/>
      <c r="D131" s="947" t="s">
        <v>141</v>
      </c>
      <c r="E131" s="947" t="s">
        <v>142</v>
      </c>
      <c r="F131" s="947" t="s">
        <v>1046</v>
      </c>
      <c r="G131" s="947" t="s">
        <v>145</v>
      </c>
      <c r="H131" s="947" t="s">
        <v>148</v>
      </c>
      <c r="I131" s="947" t="s">
        <v>150</v>
      </c>
      <c r="J131" s="948" t="s">
        <v>988</v>
      </c>
    </row>
    <row r="132" spans="1:15" ht="27" customHeight="1" thickBot="1">
      <c r="B132" s="949" t="s">
        <v>1047</v>
      </c>
      <c r="C132" s="950"/>
      <c r="D132" s="951" t="s">
        <v>1048</v>
      </c>
      <c r="E132" s="951" t="s">
        <v>1049</v>
      </c>
      <c r="F132" s="951" t="s">
        <v>1050</v>
      </c>
      <c r="G132" s="951" t="s">
        <v>1051</v>
      </c>
      <c r="H132" s="951" t="s">
        <v>1052</v>
      </c>
      <c r="I132" s="951" t="s">
        <v>1053</v>
      </c>
      <c r="J132" s="952" t="s">
        <v>1054</v>
      </c>
      <c r="L132" s="315" t="s">
        <v>1055</v>
      </c>
      <c r="M132" s="315" t="s">
        <v>1056</v>
      </c>
    </row>
    <row r="133" spans="1:15" ht="18">
      <c r="B133" s="911" t="s">
        <v>241</v>
      </c>
      <c r="C133" s="912" t="s">
        <v>1057</v>
      </c>
      <c r="D133" s="917">
        <v>35.514240207172151</v>
      </c>
      <c r="E133" s="918">
        <v>3.7435095742647375</v>
      </c>
      <c r="F133" s="918">
        <v>12.961204294487338</v>
      </c>
      <c r="G133" s="918">
        <v>11.024231682586779</v>
      </c>
      <c r="H133" s="918">
        <v>4.3739161919972052</v>
      </c>
      <c r="I133" s="918">
        <v>139.94367095378473</v>
      </c>
      <c r="J133" s="919">
        <v>33.465181742260413</v>
      </c>
      <c r="L133" s="961">
        <f>SUM(D133:H133)</f>
        <v>67.617101950508214</v>
      </c>
      <c r="M133" s="961">
        <f>SUM(I133:J133)</f>
        <v>173.40885269604513</v>
      </c>
    </row>
    <row r="134" spans="1:15" ht="18">
      <c r="B134" s="913" t="s">
        <v>310</v>
      </c>
      <c r="C134" s="914" t="s">
        <v>1057</v>
      </c>
      <c r="D134" s="920">
        <v>3.0301186825600297</v>
      </c>
      <c r="E134" s="921">
        <v>1.4429883298920769</v>
      </c>
      <c r="F134" s="922">
        <v>4.4777733477729909</v>
      </c>
      <c r="G134" s="922">
        <v>4.5787167552982408</v>
      </c>
      <c r="H134" s="922">
        <v>0.55387210582750157</v>
      </c>
      <c r="I134" s="921">
        <v>51.653540510970224</v>
      </c>
      <c r="J134" s="923">
        <v>7.3043895112382824</v>
      </c>
      <c r="L134" s="961">
        <f t="shared" ref="L134:L149" si="73">SUM(D134:H134)</f>
        <v>14.083469221350839</v>
      </c>
      <c r="M134" s="961">
        <f t="shared" ref="M134:M149" si="74">SUM(I134:J134)</f>
        <v>58.957930022208508</v>
      </c>
    </row>
    <row r="135" spans="1:15" ht="18">
      <c r="B135" s="913" t="s">
        <v>255</v>
      </c>
      <c r="C135" s="914" t="s">
        <v>1057</v>
      </c>
      <c r="D135" s="920">
        <v>4.3968249514419488</v>
      </c>
      <c r="E135" s="922">
        <v>2.9062707645139403</v>
      </c>
      <c r="F135" s="922">
        <v>4.1703405413526387</v>
      </c>
      <c r="G135" s="922">
        <v>4.0524592566204483</v>
      </c>
      <c r="H135" s="922">
        <v>1.0028833099086325</v>
      </c>
      <c r="I135" s="921">
        <v>34.266312191084644</v>
      </c>
      <c r="J135" s="923">
        <v>7.7945654479046658</v>
      </c>
      <c r="L135" s="961">
        <f t="shared" si="73"/>
        <v>16.528778823837609</v>
      </c>
      <c r="M135" s="961">
        <f t="shared" si="74"/>
        <v>42.060877638989311</v>
      </c>
    </row>
    <row r="136" spans="1:15" ht="18">
      <c r="B136" s="913" t="s">
        <v>270</v>
      </c>
      <c r="C136" s="914" t="s">
        <v>1057</v>
      </c>
      <c r="D136" s="920">
        <v>8.1305079501720599</v>
      </c>
      <c r="E136" s="922">
        <v>2.2897149188615722</v>
      </c>
      <c r="F136" s="922">
        <v>3.5788039724899363</v>
      </c>
      <c r="G136" s="922">
        <v>6.6177388195179923</v>
      </c>
      <c r="H136" s="922">
        <v>1.8122002043967504</v>
      </c>
      <c r="I136" s="921">
        <v>44.598100573806619</v>
      </c>
      <c r="J136" s="924">
        <v>11.73178763435175</v>
      </c>
      <c r="L136" s="961">
        <f t="shared" si="73"/>
        <v>22.428965865438311</v>
      </c>
      <c r="M136" s="961">
        <f t="shared" si="74"/>
        <v>56.329888208158366</v>
      </c>
    </row>
    <row r="137" spans="1:15" ht="18">
      <c r="B137" s="913" t="s">
        <v>278</v>
      </c>
      <c r="C137" s="914" t="s">
        <v>1057</v>
      </c>
      <c r="D137" s="920">
        <v>62.633450549371062</v>
      </c>
      <c r="E137" s="922">
        <v>1.791467959185487</v>
      </c>
      <c r="F137" s="922">
        <v>5.2013780897638462</v>
      </c>
      <c r="G137" s="922">
        <v>8.0242705182454888</v>
      </c>
      <c r="H137" s="922">
        <v>1.1105991480685891</v>
      </c>
      <c r="I137" s="921">
        <v>32.985034984764688</v>
      </c>
      <c r="J137" s="924">
        <v>15.876059270161896</v>
      </c>
      <c r="L137" s="961">
        <f t="shared" si="73"/>
        <v>78.761166264634468</v>
      </c>
      <c r="M137" s="961">
        <f t="shared" si="74"/>
        <v>48.861094254926584</v>
      </c>
    </row>
    <row r="138" spans="1:15" ht="18">
      <c r="B138" s="913" t="s">
        <v>302</v>
      </c>
      <c r="C138" s="914" t="s">
        <v>1057</v>
      </c>
      <c r="D138" s="925">
        <v>0.53236846874999988</v>
      </c>
      <c r="E138" s="921">
        <v>1.1485566300000001</v>
      </c>
      <c r="F138" s="922">
        <v>10.844452125</v>
      </c>
      <c r="G138" s="922">
        <v>3.7022466249999999</v>
      </c>
      <c r="H138" s="922">
        <v>0.49772756000000001</v>
      </c>
      <c r="I138" s="922">
        <v>278.08199999999999</v>
      </c>
      <c r="J138" s="924">
        <v>26.429910000000003</v>
      </c>
      <c r="L138" s="961">
        <f t="shared" si="73"/>
        <v>16.725351408750001</v>
      </c>
      <c r="M138" s="961">
        <f t="shared" si="74"/>
        <v>304.51191</v>
      </c>
    </row>
    <row r="139" spans="1:15" ht="18">
      <c r="B139" s="913" t="s">
        <v>334</v>
      </c>
      <c r="C139" s="914" t="s">
        <v>1057</v>
      </c>
      <c r="D139" s="920">
        <v>1.14003141875</v>
      </c>
      <c r="E139" s="921">
        <v>0.78536923000000014</v>
      </c>
      <c r="F139" s="922">
        <v>5.3799070000000002</v>
      </c>
      <c r="G139" s="922">
        <v>5.3271793850000009</v>
      </c>
      <c r="H139" s="922">
        <v>1.2950729000000001</v>
      </c>
      <c r="I139" s="922">
        <v>226.87959999999998</v>
      </c>
      <c r="J139" s="924">
        <v>20.330700000000004</v>
      </c>
      <c r="L139" s="961">
        <f t="shared" si="73"/>
        <v>13.92755993375</v>
      </c>
      <c r="M139" s="961">
        <f t="shared" si="74"/>
        <v>247.21029999999999</v>
      </c>
    </row>
    <row r="140" spans="1:15" ht="18.399999999999999" thickBot="1">
      <c r="B140" s="915" t="s">
        <v>284</v>
      </c>
      <c r="C140" s="916" t="s">
        <v>1057</v>
      </c>
      <c r="D140" s="926">
        <v>1.0614863387500002</v>
      </c>
      <c r="E140" s="927">
        <v>1.8450108100000002</v>
      </c>
      <c r="F140" s="927">
        <v>5.5811918499999997</v>
      </c>
      <c r="G140" s="928">
        <v>2.9574675075000001</v>
      </c>
      <c r="H140" s="927">
        <v>0.67536656000000006</v>
      </c>
      <c r="I140" s="927">
        <v>83.203900000000004</v>
      </c>
      <c r="J140" s="929">
        <v>8.8099700000000016</v>
      </c>
      <c r="L140" s="961">
        <f t="shared" si="73"/>
        <v>12.120523066250001</v>
      </c>
      <c r="M140" s="961">
        <f t="shared" si="74"/>
        <v>92.013870000000011</v>
      </c>
    </row>
    <row r="141" spans="1:15" ht="18">
      <c r="B141" s="930" t="s">
        <v>375</v>
      </c>
      <c r="C141" s="931" t="s">
        <v>626</v>
      </c>
      <c r="D141" s="917">
        <v>5.4290965522124877</v>
      </c>
      <c r="E141" s="918">
        <v>2.1106781711461089</v>
      </c>
      <c r="F141" s="942">
        <v>1.1464462385402145</v>
      </c>
      <c r="G141" s="918">
        <v>5.2095983947929767</v>
      </c>
      <c r="H141" s="918">
        <v>1.2863279295206835</v>
      </c>
      <c r="I141" s="942">
        <v>33.807094894291161</v>
      </c>
      <c r="J141" s="943">
        <v>8.0069282799878714</v>
      </c>
      <c r="L141" s="961">
        <f t="shared" si="73"/>
        <v>15.182147286212473</v>
      </c>
      <c r="M141" s="961">
        <f t="shared" si="74"/>
        <v>41.814023174279029</v>
      </c>
    </row>
    <row r="142" spans="1:15" ht="18">
      <c r="B142" s="932" t="s">
        <v>383</v>
      </c>
      <c r="C142" s="933" t="s">
        <v>626</v>
      </c>
      <c r="D142" s="920">
        <v>4.3449779315097228</v>
      </c>
      <c r="E142" s="922">
        <v>2.2131597278323896</v>
      </c>
      <c r="F142" s="921">
        <v>1.5792440039923603</v>
      </c>
      <c r="G142" s="922">
        <v>7.1389564702386767</v>
      </c>
      <c r="H142" s="922">
        <v>1.065031061981242</v>
      </c>
      <c r="I142" s="922">
        <v>91.623706234849024</v>
      </c>
      <c r="J142" s="923">
        <v>8.164640312709702</v>
      </c>
      <c r="L142" s="961">
        <f t="shared" si="73"/>
        <v>16.341369195554392</v>
      </c>
      <c r="M142" s="961">
        <f t="shared" si="74"/>
        <v>99.788346547558731</v>
      </c>
    </row>
    <row r="143" spans="1:15" ht="18">
      <c r="B143" s="932" t="s">
        <v>393</v>
      </c>
      <c r="C143" s="933" t="s">
        <v>626</v>
      </c>
      <c r="D143" s="920">
        <v>3.6883341244824095</v>
      </c>
      <c r="E143" s="921">
        <v>0.59268191436854467</v>
      </c>
      <c r="F143" s="921">
        <v>2.4737520046269088</v>
      </c>
      <c r="G143" s="921">
        <v>2.3836092049825024</v>
      </c>
      <c r="H143" s="922">
        <v>0.6478205459281966</v>
      </c>
      <c r="I143" s="921">
        <v>34.830556005036456</v>
      </c>
      <c r="J143" s="924">
        <v>8.6458121315390208</v>
      </c>
      <c r="L143" s="961">
        <f t="shared" si="73"/>
        <v>9.7861977943885616</v>
      </c>
      <c r="M143" s="961">
        <f t="shared" si="74"/>
        <v>43.476368136575473</v>
      </c>
    </row>
    <row r="144" spans="1:15" ht="18">
      <c r="B144" s="932" t="s">
        <v>400</v>
      </c>
      <c r="C144" s="933" t="s">
        <v>626</v>
      </c>
      <c r="D144" s="920">
        <v>2.2579926668773571</v>
      </c>
      <c r="E144" s="921">
        <v>0.64516144054153524</v>
      </c>
      <c r="F144" s="921">
        <v>0.7764341883028909</v>
      </c>
      <c r="G144" s="921">
        <v>1.4639563504309581</v>
      </c>
      <c r="H144" s="921">
        <v>9.1058690168383166E-2</v>
      </c>
      <c r="I144" s="921">
        <v>11.982722181513854</v>
      </c>
      <c r="J144" s="923">
        <v>0</v>
      </c>
      <c r="L144" s="961">
        <f t="shared" si="73"/>
        <v>5.2346033363211237</v>
      </c>
      <c r="M144" s="961">
        <f t="shared" si="74"/>
        <v>11.982722181513854</v>
      </c>
    </row>
    <row r="145" spans="2:13" ht="18.399999999999999" thickBot="1">
      <c r="B145" s="934" t="s">
        <v>404</v>
      </c>
      <c r="C145" s="935" t="s">
        <v>626</v>
      </c>
      <c r="D145" s="926">
        <v>2.1803315076297243</v>
      </c>
      <c r="E145" s="928">
        <v>0.94926274328405968</v>
      </c>
      <c r="F145" s="928">
        <v>2.6253735763914401</v>
      </c>
      <c r="G145" s="927">
        <v>4.6928144327223533</v>
      </c>
      <c r="H145" s="927">
        <v>0.55563019660917556</v>
      </c>
      <c r="I145" s="928">
        <v>34.176713536832018</v>
      </c>
      <c r="J145" s="944">
        <v>0</v>
      </c>
      <c r="L145" s="961">
        <f t="shared" si="73"/>
        <v>11.003412456636752</v>
      </c>
      <c r="M145" s="961">
        <f t="shared" si="74"/>
        <v>34.176713536832018</v>
      </c>
    </row>
    <row r="146" spans="2:13" ht="18">
      <c r="B146" s="936" t="s">
        <v>343</v>
      </c>
      <c r="C146" s="937" t="s">
        <v>1058</v>
      </c>
      <c r="D146" s="917">
        <v>0.98373732375</v>
      </c>
      <c r="E146" s="942">
        <v>0.67001489000000003</v>
      </c>
      <c r="F146" s="918">
        <v>5.0539732750000006</v>
      </c>
      <c r="G146" s="918">
        <v>5.4412337925000003</v>
      </c>
      <c r="H146" s="918">
        <v>1.2154737099999999</v>
      </c>
      <c r="I146" s="918">
        <v>168.17339999999999</v>
      </c>
      <c r="J146" s="919">
        <v>17.958785000000002</v>
      </c>
      <c r="L146" s="961">
        <f t="shared" si="73"/>
        <v>13.36443299125</v>
      </c>
      <c r="M146" s="961">
        <f t="shared" si="74"/>
        <v>186.13218499999999</v>
      </c>
    </row>
    <row r="147" spans="2:13" ht="18">
      <c r="B147" s="938" t="s">
        <v>349</v>
      </c>
      <c r="C147" s="939" t="s">
        <v>1058</v>
      </c>
      <c r="D147" s="920">
        <v>4.45033504375</v>
      </c>
      <c r="E147" s="922">
        <v>1.5364897</v>
      </c>
      <c r="F147" s="922">
        <v>7.8082517499999993</v>
      </c>
      <c r="G147" s="922">
        <v>10.158076857499999</v>
      </c>
      <c r="H147" s="922">
        <v>1.6152460500000001</v>
      </c>
      <c r="I147" s="922">
        <v>247.73575</v>
      </c>
      <c r="J147" s="924">
        <v>30.496050000000004</v>
      </c>
      <c r="L147" s="961">
        <f t="shared" si="73"/>
        <v>25.568399401249998</v>
      </c>
      <c r="M147" s="961">
        <f t="shared" si="74"/>
        <v>278.23180000000002</v>
      </c>
    </row>
    <row r="148" spans="2:13" ht="18">
      <c r="B148" s="938" t="s">
        <v>356</v>
      </c>
      <c r="C148" s="939" t="s">
        <v>1058</v>
      </c>
      <c r="D148" s="920">
        <v>7.456409161249999</v>
      </c>
      <c r="E148" s="922">
        <v>2.4302506099999999</v>
      </c>
      <c r="F148" s="922">
        <v>55.549694200000005</v>
      </c>
      <c r="G148" s="922">
        <v>7.7780063625000011</v>
      </c>
      <c r="H148" s="922">
        <v>2.153026975</v>
      </c>
      <c r="I148" s="922">
        <v>207.23729999999995</v>
      </c>
      <c r="J148" s="924">
        <v>25.074530000000003</v>
      </c>
      <c r="L148" s="961">
        <f t="shared" si="73"/>
        <v>75.367387308749997</v>
      </c>
      <c r="M148" s="961">
        <f t="shared" si="74"/>
        <v>232.31182999999996</v>
      </c>
    </row>
    <row r="149" spans="2:13" ht="18.399999999999999" thickBot="1">
      <c r="B149" s="940" t="s">
        <v>363</v>
      </c>
      <c r="C149" s="941" t="s">
        <v>1058</v>
      </c>
      <c r="D149" s="926">
        <v>5.0209809712499993</v>
      </c>
      <c r="E149" s="927">
        <v>2.6636879000000002</v>
      </c>
      <c r="F149" s="927">
        <v>33.317874850000003</v>
      </c>
      <c r="G149" s="927">
        <v>11.733737675</v>
      </c>
      <c r="H149" s="927">
        <v>2.0550717550000002</v>
      </c>
      <c r="I149" s="927">
        <v>210.65814999999998</v>
      </c>
      <c r="J149" s="929">
        <v>28.462980000000005</v>
      </c>
      <c r="L149" s="961">
        <f t="shared" si="73"/>
        <v>54.79135315125</v>
      </c>
      <c r="M149" s="961">
        <f t="shared" si="74"/>
        <v>239.12112999999999</v>
      </c>
    </row>
    <row r="150" spans="2:13" ht="14.65" thickBot="1"/>
    <row r="151" spans="2:13" ht="18">
      <c r="B151" s="912" t="s">
        <v>1057</v>
      </c>
      <c r="C151" s="315" t="s">
        <v>1059</v>
      </c>
      <c r="D151" s="961">
        <f>AVERAGE(D133:D140)</f>
        <v>14.554878570870907</v>
      </c>
      <c r="E151" s="961">
        <f t="shared" ref="E151:J151" si="75">AVERAGE(E133:E140)</f>
        <v>1.9941110270897267</v>
      </c>
      <c r="F151" s="961">
        <f t="shared" si="75"/>
        <v>6.5243814026083449</v>
      </c>
      <c r="G151" s="961">
        <f t="shared" si="75"/>
        <v>5.7855388187211183</v>
      </c>
      <c r="H151" s="961">
        <f t="shared" si="75"/>
        <v>1.415204747524835</v>
      </c>
      <c r="I151" s="961">
        <f t="shared" si="75"/>
        <v>111.45151990180136</v>
      </c>
      <c r="J151" s="961">
        <f t="shared" si="75"/>
        <v>16.467820450739627</v>
      </c>
      <c r="L151" s="961">
        <f t="shared" ref="L151:M151" si="76">AVERAGE(L133:L140)</f>
        <v>30.274114566814927</v>
      </c>
      <c r="M151" s="961">
        <f t="shared" si="76"/>
        <v>127.91934035254098</v>
      </c>
    </row>
    <row r="152" spans="2:13" ht="18.399999999999999" thickBot="1">
      <c r="C152" s="315" t="s">
        <v>540</v>
      </c>
      <c r="D152" s="961">
        <f>STDEV(D133:D140)</f>
        <v>22.636200946373801</v>
      </c>
      <c r="E152" s="961">
        <f t="shared" ref="E152:J152" si="77">STDEV(E133:E140)</f>
        <v>0.96531731347101191</v>
      </c>
      <c r="F152" s="961">
        <f t="shared" si="77"/>
        <v>3.4320340750776173</v>
      </c>
      <c r="G152" s="961">
        <f t="shared" si="77"/>
        <v>2.676793143277612</v>
      </c>
      <c r="H152" s="961">
        <f t="shared" si="77"/>
        <v>1.2716593691123343</v>
      </c>
      <c r="I152" s="961">
        <f t="shared" si="77"/>
        <v>94.761967080116037</v>
      </c>
      <c r="J152" s="961">
        <f t="shared" si="77"/>
        <v>9.5893693972612422</v>
      </c>
      <c r="L152" s="961">
        <f t="shared" ref="L152:M152" si="78">STDEV(L133:L140)</f>
        <v>26.828668606752625</v>
      </c>
      <c r="M152" s="961">
        <f t="shared" si="78"/>
        <v>101.6129736594679</v>
      </c>
    </row>
    <row r="153" spans="2:13" ht="18">
      <c r="B153" s="931" t="s">
        <v>626</v>
      </c>
      <c r="C153" s="315" t="s">
        <v>1059</v>
      </c>
      <c r="D153" s="961">
        <f>AVERAGE(D141:D145)</f>
        <v>3.5801465565423398</v>
      </c>
      <c r="E153" s="961">
        <f t="shared" ref="E153:J153" si="79">AVERAGE(E141:E145)</f>
        <v>1.3021887994345274</v>
      </c>
      <c r="F153" s="961">
        <f t="shared" si="79"/>
        <v>1.7202500023707628</v>
      </c>
      <c r="G153" s="961">
        <f t="shared" si="79"/>
        <v>4.1777869706334929</v>
      </c>
      <c r="H153" s="961">
        <f t="shared" si="79"/>
        <v>0.72917368484153611</v>
      </c>
      <c r="I153" s="961">
        <f t="shared" si="79"/>
        <v>41.284158570504502</v>
      </c>
      <c r="J153" s="961">
        <f t="shared" si="79"/>
        <v>4.963476144847319</v>
      </c>
      <c r="L153" s="961">
        <f t="shared" ref="L153:M153" si="80">AVERAGE(L141:L145)</f>
        <v>11.509546013822661</v>
      </c>
      <c r="M153" s="961">
        <f t="shared" si="80"/>
        <v>46.247634715351822</v>
      </c>
    </row>
    <row r="154" spans="2:13" ht="18.399999999999999" thickBot="1">
      <c r="C154" s="315" t="s">
        <v>540</v>
      </c>
      <c r="D154" s="961">
        <f>STDEV(D141:D145)</f>
        <v>1.3895017765010609</v>
      </c>
      <c r="E154" s="961">
        <f t="shared" ref="E154:J154" si="81">STDEV(E141:E145)</f>
        <v>0.79736517166799314</v>
      </c>
      <c r="F154" s="961">
        <f t="shared" si="81"/>
        <v>0.81039121625011779</v>
      </c>
      <c r="G154" s="961">
        <f t="shared" si="81"/>
        <v>2.2738933240715693</v>
      </c>
      <c r="H154" s="961">
        <f t="shared" si="81"/>
        <v>0.46560376182135299</v>
      </c>
      <c r="I154" s="961">
        <f t="shared" si="81"/>
        <v>29.751955715997564</v>
      </c>
      <c r="J154" s="961">
        <f t="shared" si="81"/>
        <v>4.5371202906777555</v>
      </c>
      <c r="L154" s="961">
        <f t="shared" ref="L154:M154" si="82">STDEV(L141:L145)</f>
        <v>4.456330363498255</v>
      </c>
      <c r="M154" s="961">
        <f t="shared" si="82"/>
        <v>32.456648095177677</v>
      </c>
    </row>
    <row r="155" spans="2:13" ht="18">
      <c r="B155" s="937" t="s">
        <v>1058</v>
      </c>
      <c r="C155" s="315" t="s">
        <v>1059</v>
      </c>
      <c r="D155" s="961">
        <f>AVERAGE(D146:D149)</f>
        <v>4.4778656249999997</v>
      </c>
      <c r="E155" s="961">
        <f t="shared" ref="E155:J155" si="83">AVERAGE(E146:E149)</f>
        <v>1.825110775</v>
      </c>
      <c r="F155" s="961">
        <f t="shared" si="83"/>
        <v>25.43244851875</v>
      </c>
      <c r="G155" s="961">
        <f t="shared" si="83"/>
        <v>8.7777636718750003</v>
      </c>
      <c r="H155" s="961">
        <f t="shared" si="83"/>
        <v>1.7597046225000001</v>
      </c>
      <c r="I155" s="961">
        <f t="shared" si="83"/>
        <v>208.45114999999998</v>
      </c>
      <c r="J155" s="961">
        <f t="shared" si="83"/>
        <v>25.498086250000004</v>
      </c>
      <c r="L155" s="961">
        <f t="shared" ref="L155:M155" si="84">AVERAGE(L146:L149)</f>
        <v>42.272893213125002</v>
      </c>
      <c r="M155" s="961">
        <f t="shared" si="84"/>
        <v>233.94923624999998</v>
      </c>
    </row>
    <row r="156" spans="2:13" ht="18">
      <c r="C156" s="315" t="s">
        <v>540</v>
      </c>
      <c r="D156" s="961">
        <f>STDEV(D146:D149)</f>
        <v>2.6693561268071795</v>
      </c>
      <c r="E156" s="961">
        <f t="shared" ref="E156:J156" si="85">STDEV(E146:E149)</f>
        <v>0.91048603191833433</v>
      </c>
      <c r="F156" s="961">
        <f t="shared" si="85"/>
        <v>23.77059107983429</v>
      </c>
      <c r="G156" s="961">
        <f t="shared" si="85"/>
        <v>2.7552975103227304</v>
      </c>
      <c r="H156" s="961">
        <f t="shared" si="85"/>
        <v>0.43166336468237454</v>
      </c>
      <c r="I156" s="961">
        <f t="shared" si="85"/>
        <v>32.516258615473355</v>
      </c>
      <c r="J156" s="961">
        <f t="shared" si="85"/>
        <v>5.5012331899392732</v>
      </c>
      <c r="L156" s="961">
        <f t="shared" ref="L156:M156" si="86">STDEV(L146:L149)</f>
        <v>28.087343321494455</v>
      </c>
      <c r="M156" s="961">
        <f t="shared" si="86"/>
        <v>37.75731905519234</v>
      </c>
    </row>
  </sheetData>
  <mergeCells count="6">
    <mergeCell ref="C109:M109"/>
    <mergeCell ref="C46:M46"/>
    <mergeCell ref="C73:M73"/>
    <mergeCell ref="C9:M9"/>
    <mergeCell ref="R106:T107"/>
    <mergeCell ref="R100:T10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Foods with 2 mineral analyses</vt:lpstr>
      <vt:lpstr>Full dog food table</vt:lpstr>
      <vt:lpstr>Minerals (per100gDM)</vt:lpstr>
      <vt:lpstr>Minerals (per1000kcal ME)</vt:lpstr>
      <vt:lpstr>Delivery 21022022</vt:lpstr>
      <vt:lpstr>Delivery 03032022 </vt:lpstr>
      <vt:lpstr>AA (per100gDM)</vt:lpstr>
      <vt:lpstr>Vitamin looksy</vt:lpstr>
      <vt:lpstr>AA Summary</vt:lpstr>
      <vt:lpstr>AA table (per100gDM)</vt:lpstr>
      <vt:lpstr>AA (per1000kcal ME)</vt:lpstr>
      <vt:lpstr>FAME</vt:lpstr>
      <vt:lpstr>Vitamin D (per100gDM)</vt:lpstr>
      <vt:lpstr>RB_LoQ_LoD</vt:lpstr>
      <vt:lpstr>Vitamin D (per1000kcal ME)</vt:lpstr>
      <vt:lpstr>Vitamin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David Gardner (staff)</cp:lastModifiedBy>
  <cp:revision/>
  <dcterms:created xsi:type="dcterms:W3CDTF">2022-01-21T10:31:14Z</dcterms:created>
  <dcterms:modified xsi:type="dcterms:W3CDTF">2025-07-28T14:03:37Z</dcterms:modified>
  <cp:category/>
  <cp:contentStatus/>
</cp:coreProperties>
</file>